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rocha\Dropbox\SIARMA\SIMULADORES\"/>
    </mc:Choice>
  </mc:AlternateContent>
  <workbookProtection workbookAlgorithmName="SHA-512" workbookHashValue="SJz3oQwaJHbTvsW8ZyxOmatq/LvJQKVfmFxbRbraMgrYonsa5RSrF4iVDnoZqeKveJN2G4UJTZ0md0kDz8LGTw==" workbookSaltValue="lSmRqMSeD2sIChG88nP/vQ==" workbookSpinCount="100000" lockStructure="1"/>
  <bookViews>
    <workbookView xWindow="0" yWindow="0" windowWidth="24000" windowHeight="9735" activeTab="1"/>
  </bookViews>
  <sheets>
    <sheet name="Apresentação" sheetId="5" r:id="rId1"/>
    <sheet name="SIMULADOR" sheetId="4" r:id="rId2"/>
    <sheet name="base_" sheetId="9" state="hidden" r:id="rId3"/>
    <sheet name="exportação" sheetId="10" state="hidden" r:id="rId4"/>
    <sheet name="cap_prod" sheetId="11" state="hidden" r:id="rId5"/>
    <sheet name="frete_rodo" sheetId="6" state="hidden" r:id="rId6"/>
    <sheet name="preço_soja" sheetId="7" state="hidden" r:id="rId7"/>
    <sheet name="preço_armazenagem" sheetId="8" state="hidden" r:id="rId8"/>
  </sheets>
  <definedNames>
    <definedName name="_xlnm._FilterDatabase" localSheetId="2" hidden="1">base_!$E$1:$R$109</definedName>
    <definedName name="_xlnm._FilterDatabase" localSheetId="3" hidden="1">exportação!$B$1:$Q$33</definedName>
    <definedName name="exp">OFFSET(exportação!$E$1:$P$8,SIMULADOR!$H$46,0,8,12)</definedName>
    <definedName name="frete_rodo">OFFSET(frete_rodo!$H$1:$S$1,SIMULADOR!$E$8,0,1,12)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1" l="1"/>
  <c r="F18" i="11" s="1"/>
  <c r="C13" i="11"/>
  <c r="D3" i="8"/>
  <c r="D4" i="8"/>
  <c r="D5" i="8"/>
  <c r="D6" i="8"/>
  <c r="D7" i="8"/>
  <c r="D8" i="8"/>
  <c r="D9" i="8"/>
  <c r="D10" i="8"/>
  <c r="D11" i="8"/>
  <c r="D12" i="8"/>
  <c r="D13" i="8"/>
  <c r="B3" i="8"/>
  <c r="B4" i="8"/>
  <c r="B5" i="8"/>
  <c r="B6" i="8"/>
  <c r="B7" i="8"/>
  <c r="B8" i="8"/>
  <c r="B9" i="8"/>
  <c r="B10" i="8"/>
  <c r="B11" i="8"/>
  <c r="B12" i="8"/>
  <c r="B13" i="8"/>
  <c r="B2" i="8"/>
  <c r="B13" i="11" l="1"/>
  <c r="I62" i="4" s="1"/>
  <c r="G18" i="11"/>
  <c r="E18" i="11" s="1"/>
  <c r="G17" i="11"/>
  <c r="F17" i="11"/>
  <c r="E17" i="11" l="1"/>
  <c r="A3" i="10" l="1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2" i="10"/>
  <c r="E39" i="10"/>
  <c r="F39" i="10" s="1"/>
  <c r="G39" i="4" l="1"/>
  <c r="B62" i="4"/>
  <c r="C42" i="10"/>
  <c r="G42" i="10" s="1"/>
  <c r="C41" i="10"/>
  <c r="C45" i="10"/>
  <c r="C48" i="10"/>
  <c r="C44" i="10"/>
  <c r="C47" i="10"/>
  <c r="C43" i="10"/>
  <c r="C46" i="10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2" i="9"/>
  <c r="AD4" i="9"/>
  <c r="AD5" i="9"/>
  <c r="AD6" i="9"/>
  <c r="AD7" i="9"/>
  <c r="AD8" i="9"/>
  <c r="AD9" i="9"/>
  <c r="AD10" i="9"/>
  <c r="AD11" i="9"/>
  <c r="AD12" i="9"/>
  <c r="AD13" i="9"/>
  <c r="AD14" i="9"/>
  <c r="AD3" i="9"/>
  <c r="L42" i="10" l="1"/>
  <c r="K42" i="10"/>
  <c r="F42" i="10"/>
  <c r="O42" i="10"/>
  <c r="J42" i="10"/>
  <c r="Q42" i="10"/>
  <c r="H42" i="10"/>
  <c r="N42" i="10"/>
  <c r="E42" i="10"/>
  <c r="P42" i="10"/>
  <c r="I42" i="10"/>
  <c r="M42" i="10"/>
  <c r="I44" i="10"/>
  <c r="M44" i="10"/>
  <c r="F44" i="10"/>
  <c r="J44" i="10"/>
  <c r="N44" i="10"/>
  <c r="H44" i="10"/>
  <c r="L44" i="10"/>
  <c r="P44" i="10"/>
  <c r="G44" i="10"/>
  <c r="K44" i="10"/>
  <c r="O44" i="10"/>
  <c r="E44" i="10"/>
  <c r="Q44" i="10"/>
  <c r="G46" i="10"/>
  <c r="K46" i="10"/>
  <c r="O46" i="10"/>
  <c r="E46" i="10"/>
  <c r="Q46" i="10"/>
  <c r="H46" i="10"/>
  <c r="L46" i="10"/>
  <c r="P46" i="10"/>
  <c r="F46" i="10"/>
  <c r="J46" i="10"/>
  <c r="N46" i="10"/>
  <c r="I46" i="10"/>
  <c r="M46" i="10"/>
  <c r="I48" i="10"/>
  <c r="M48" i="10"/>
  <c r="P48" i="10"/>
  <c r="F48" i="10"/>
  <c r="J48" i="10"/>
  <c r="N48" i="10"/>
  <c r="H48" i="10"/>
  <c r="L48" i="10"/>
  <c r="G48" i="10"/>
  <c r="K48" i="10"/>
  <c r="O48" i="10"/>
  <c r="E48" i="10"/>
  <c r="Q48" i="10"/>
  <c r="H43" i="10"/>
  <c r="L43" i="10"/>
  <c r="P43" i="10"/>
  <c r="I43" i="10"/>
  <c r="M43" i="10"/>
  <c r="E43" i="10"/>
  <c r="G43" i="10"/>
  <c r="K43" i="10"/>
  <c r="O43" i="10"/>
  <c r="Q43" i="10"/>
  <c r="F43" i="10"/>
  <c r="J43" i="10"/>
  <c r="N43" i="10"/>
  <c r="Q45" i="10"/>
  <c r="F45" i="10"/>
  <c r="J45" i="10"/>
  <c r="N45" i="10"/>
  <c r="G45" i="10"/>
  <c r="K45" i="10"/>
  <c r="O45" i="10"/>
  <c r="I45" i="10"/>
  <c r="M45" i="10"/>
  <c r="E45" i="10"/>
  <c r="H45" i="10"/>
  <c r="L45" i="10"/>
  <c r="P45" i="10"/>
  <c r="H47" i="10"/>
  <c r="L47" i="10"/>
  <c r="P47" i="10"/>
  <c r="O47" i="10"/>
  <c r="I47" i="10"/>
  <c r="M47" i="10"/>
  <c r="E47" i="10"/>
  <c r="G47" i="10"/>
  <c r="K47" i="10"/>
  <c r="Q47" i="10"/>
  <c r="F47" i="10"/>
  <c r="J47" i="10"/>
  <c r="N47" i="10"/>
  <c r="Q41" i="10"/>
  <c r="F41" i="10"/>
  <c r="J41" i="10"/>
  <c r="N41" i="10"/>
  <c r="E41" i="10"/>
  <c r="G41" i="10"/>
  <c r="K41" i="10"/>
  <c r="O41" i="10"/>
  <c r="I41" i="10"/>
  <c r="M41" i="10"/>
  <c r="H41" i="10"/>
  <c r="L41" i="10"/>
  <c r="P41" i="10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E3" i="7"/>
  <c r="D3" i="7"/>
  <c r="E2" i="7"/>
  <c r="D2" i="7"/>
  <c r="A9" i="6"/>
  <c r="A8" i="6"/>
  <c r="A7" i="6"/>
  <c r="A6" i="6"/>
  <c r="A5" i="6"/>
  <c r="A4" i="6"/>
  <c r="A3" i="6"/>
  <c r="A2" i="6"/>
  <c r="E8" i="4" s="1"/>
  <c r="Y109" i="9"/>
  <c r="M109" i="9" s="1"/>
  <c r="F109" i="9"/>
  <c r="C109" i="9" s="1"/>
  <c r="Y108" i="9"/>
  <c r="M108" i="9" s="1"/>
  <c r="F108" i="9"/>
  <c r="C108" i="9"/>
  <c r="Y107" i="9"/>
  <c r="M107" i="9" s="1"/>
  <c r="F107" i="9"/>
  <c r="C107" i="9"/>
  <c r="Y106" i="9"/>
  <c r="M106" i="9" s="1"/>
  <c r="F106" i="9"/>
  <c r="C106" i="9"/>
  <c r="Y105" i="9"/>
  <c r="M105" i="9" s="1"/>
  <c r="F105" i="9"/>
  <c r="C105" i="9" s="1"/>
  <c r="Y104" i="9"/>
  <c r="M104" i="9" s="1"/>
  <c r="F104" i="9"/>
  <c r="C104" i="9"/>
  <c r="Y103" i="9"/>
  <c r="M103" i="9" s="1"/>
  <c r="F103" i="9"/>
  <c r="C103" i="9"/>
  <c r="Y102" i="9"/>
  <c r="M102" i="9" s="1"/>
  <c r="F102" i="9"/>
  <c r="C102" i="9"/>
  <c r="Y101" i="9"/>
  <c r="M101" i="9" s="1"/>
  <c r="F101" i="9"/>
  <c r="C101" i="9" s="1"/>
  <c r="Y100" i="9"/>
  <c r="M100" i="9" s="1"/>
  <c r="F100" i="9"/>
  <c r="C100" i="9"/>
  <c r="Y99" i="9"/>
  <c r="M99" i="9" s="1"/>
  <c r="F99" i="9"/>
  <c r="C99" i="9"/>
  <c r="Y98" i="9"/>
  <c r="M98" i="9" s="1"/>
  <c r="F98" i="9"/>
  <c r="C98" i="9"/>
  <c r="Y97" i="9"/>
  <c r="M97" i="9" s="1"/>
  <c r="F97" i="9"/>
  <c r="C97" i="9" s="1"/>
  <c r="Y96" i="9"/>
  <c r="M96" i="9" s="1"/>
  <c r="F96" i="9"/>
  <c r="C96" i="9"/>
  <c r="Y95" i="9"/>
  <c r="M95" i="9" s="1"/>
  <c r="F95" i="9"/>
  <c r="C95" i="9"/>
  <c r="Y94" i="9"/>
  <c r="M94" i="9" s="1"/>
  <c r="F94" i="9"/>
  <c r="C94" i="9"/>
  <c r="Y93" i="9"/>
  <c r="M93" i="9" s="1"/>
  <c r="F93" i="9"/>
  <c r="C93" i="9" s="1"/>
  <c r="Y92" i="9"/>
  <c r="M92" i="9" s="1"/>
  <c r="F92" i="9"/>
  <c r="C92" i="9"/>
  <c r="Y91" i="9"/>
  <c r="M91" i="9" s="1"/>
  <c r="F91" i="9"/>
  <c r="C91" i="9"/>
  <c r="Y90" i="9"/>
  <c r="M90" i="9" s="1"/>
  <c r="F90" i="9"/>
  <c r="C90" i="9"/>
  <c r="Y89" i="9"/>
  <c r="M89" i="9" s="1"/>
  <c r="F89" i="9"/>
  <c r="C89" i="9" s="1"/>
  <c r="Y88" i="9"/>
  <c r="M88" i="9" s="1"/>
  <c r="F88" i="9"/>
  <c r="C88" i="9"/>
  <c r="Y87" i="9"/>
  <c r="M87" i="9" s="1"/>
  <c r="F87" i="9"/>
  <c r="C87" i="9"/>
  <c r="Y86" i="9"/>
  <c r="M86" i="9" s="1"/>
  <c r="F86" i="9"/>
  <c r="C86" i="9"/>
  <c r="Y85" i="9"/>
  <c r="M85" i="9" s="1"/>
  <c r="F85" i="9"/>
  <c r="C85" i="9" s="1"/>
  <c r="Y84" i="9"/>
  <c r="M84" i="9" s="1"/>
  <c r="F84" i="9"/>
  <c r="C84" i="9"/>
  <c r="Y83" i="9"/>
  <c r="M83" i="9" s="1"/>
  <c r="F83" i="9"/>
  <c r="C83" i="9"/>
  <c r="Y82" i="9"/>
  <c r="M82" i="9" s="1"/>
  <c r="F82" i="9"/>
  <c r="C82" i="9"/>
  <c r="Y81" i="9"/>
  <c r="M81" i="9" s="1"/>
  <c r="F81" i="9"/>
  <c r="C81" i="9" s="1"/>
  <c r="Y80" i="9"/>
  <c r="M80" i="9" s="1"/>
  <c r="F80" i="9"/>
  <c r="C80" i="9"/>
  <c r="Y79" i="9"/>
  <c r="M79" i="9" s="1"/>
  <c r="F79" i="9"/>
  <c r="C79" i="9"/>
  <c r="Y78" i="9"/>
  <c r="M78" i="9" s="1"/>
  <c r="F78" i="9"/>
  <c r="C78" i="9"/>
  <c r="Y77" i="9"/>
  <c r="M77" i="9" s="1"/>
  <c r="F77" i="9"/>
  <c r="C77" i="9" s="1"/>
  <c r="Y76" i="9"/>
  <c r="M76" i="9" s="1"/>
  <c r="F76" i="9"/>
  <c r="C76" i="9"/>
  <c r="Y75" i="9"/>
  <c r="M75" i="9" s="1"/>
  <c r="F75" i="9"/>
  <c r="C75" i="9"/>
  <c r="Y74" i="9"/>
  <c r="M74" i="9" s="1"/>
  <c r="F74" i="9"/>
  <c r="C74" i="9"/>
  <c r="Y73" i="9"/>
  <c r="M73" i="9" s="1"/>
  <c r="F73" i="9"/>
  <c r="C73" i="9" s="1"/>
  <c r="Y72" i="9"/>
  <c r="M72" i="9" s="1"/>
  <c r="F72" i="9"/>
  <c r="C72" i="9"/>
  <c r="Y71" i="9"/>
  <c r="M71" i="9" s="1"/>
  <c r="F71" i="9"/>
  <c r="C71" i="9"/>
  <c r="Y70" i="9"/>
  <c r="M70" i="9" s="1"/>
  <c r="F70" i="9"/>
  <c r="C70" i="9"/>
  <c r="Y69" i="9"/>
  <c r="M69" i="9" s="1"/>
  <c r="F69" i="9"/>
  <c r="C69" i="9" s="1"/>
  <c r="Y68" i="9"/>
  <c r="M68" i="9" s="1"/>
  <c r="F68" i="9"/>
  <c r="C68" i="9"/>
  <c r="Y67" i="9"/>
  <c r="M67" i="9" s="1"/>
  <c r="F67" i="9"/>
  <c r="C67" i="9"/>
  <c r="Y66" i="9"/>
  <c r="M66" i="9" s="1"/>
  <c r="F66" i="9"/>
  <c r="C66" i="9"/>
  <c r="Y65" i="9"/>
  <c r="M65" i="9" s="1"/>
  <c r="F65" i="9"/>
  <c r="C65" i="9" s="1"/>
  <c r="Y64" i="9"/>
  <c r="M64" i="9" s="1"/>
  <c r="F64" i="9"/>
  <c r="C64" i="9"/>
  <c r="Y63" i="9"/>
  <c r="M63" i="9" s="1"/>
  <c r="F63" i="9"/>
  <c r="C63" i="9"/>
  <c r="Y62" i="9"/>
  <c r="M62" i="9" s="1"/>
  <c r="F62" i="9"/>
  <c r="C62" i="9"/>
  <c r="Y61" i="9"/>
  <c r="M61" i="9" s="1"/>
  <c r="F61" i="9"/>
  <c r="C61" i="9" s="1"/>
  <c r="Y60" i="9"/>
  <c r="M60" i="9" s="1"/>
  <c r="F60" i="9"/>
  <c r="C60" i="9"/>
  <c r="Y59" i="9"/>
  <c r="M59" i="9" s="1"/>
  <c r="F59" i="9"/>
  <c r="C59" i="9"/>
  <c r="Y58" i="9"/>
  <c r="M58" i="9" s="1"/>
  <c r="F58" i="9"/>
  <c r="C58" i="9"/>
  <c r="Y57" i="9"/>
  <c r="M57" i="9" s="1"/>
  <c r="F57" i="9"/>
  <c r="C57" i="9" s="1"/>
  <c r="Y56" i="9"/>
  <c r="M56" i="9" s="1"/>
  <c r="F56" i="9"/>
  <c r="C56" i="9"/>
  <c r="Y55" i="9"/>
  <c r="M55" i="9" s="1"/>
  <c r="F55" i="9"/>
  <c r="C55" i="9"/>
  <c r="Y54" i="9"/>
  <c r="M54" i="9" s="1"/>
  <c r="F54" i="9"/>
  <c r="C54" i="9"/>
  <c r="Y53" i="9"/>
  <c r="M53" i="9" s="1"/>
  <c r="F53" i="9"/>
  <c r="C53" i="9" s="1"/>
  <c r="Y52" i="9"/>
  <c r="M52" i="9" s="1"/>
  <c r="F52" i="9"/>
  <c r="C52" i="9"/>
  <c r="Y51" i="9"/>
  <c r="M51" i="9" s="1"/>
  <c r="F51" i="9"/>
  <c r="C51" i="9"/>
  <c r="Y50" i="9"/>
  <c r="M50" i="9" s="1"/>
  <c r="F50" i="9"/>
  <c r="C50" i="9"/>
  <c r="Y49" i="9"/>
  <c r="M49" i="9" s="1"/>
  <c r="F49" i="9"/>
  <c r="C49" i="9" s="1"/>
  <c r="Y48" i="9"/>
  <c r="M48" i="9" s="1"/>
  <c r="F48" i="9"/>
  <c r="C48" i="9"/>
  <c r="Y47" i="9"/>
  <c r="M47" i="9" s="1"/>
  <c r="F47" i="9"/>
  <c r="C47" i="9"/>
  <c r="Y46" i="9"/>
  <c r="M46" i="9" s="1"/>
  <c r="F46" i="9"/>
  <c r="C46" i="9"/>
  <c r="Y45" i="9"/>
  <c r="M45" i="9" s="1"/>
  <c r="F45" i="9"/>
  <c r="C45" i="9" s="1"/>
  <c r="Y44" i="9"/>
  <c r="M44" i="9" s="1"/>
  <c r="F44" i="9"/>
  <c r="C44" i="9"/>
  <c r="Y43" i="9"/>
  <c r="M43" i="9" s="1"/>
  <c r="F43" i="9"/>
  <c r="C43" i="9"/>
  <c r="Y42" i="9"/>
  <c r="M42" i="9" s="1"/>
  <c r="F42" i="9"/>
  <c r="C42" i="9"/>
  <c r="Y41" i="9"/>
  <c r="M41" i="9" s="1"/>
  <c r="F41" i="9"/>
  <c r="C41" i="9" s="1"/>
  <c r="Y40" i="9"/>
  <c r="M40" i="9" s="1"/>
  <c r="F40" i="9"/>
  <c r="C40" i="9"/>
  <c r="Y39" i="9"/>
  <c r="M39" i="9" s="1"/>
  <c r="F39" i="9"/>
  <c r="C39" i="9"/>
  <c r="Y38" i="9"/>
  <c r="M38" i="9" s="1"/>
  <c r="F38" i="9"/>
  <c r="C38" i="9"/>
  <c r="Y37" i="9"/>
  <c r="M37" i="9" s="1"/>
  <c r="F37" i="9"/>
  <c r="C37" i="9" s="1"/>
  <c r="Y36" i="9"/>
  <c r="M36" i="9" s="1"/>
  <c r="F36" i="9"/>
  <c r="C36" i="9"/>
  <c r="Y35" i="9"/>
  <c r="M35" i="9" s="1"/>
  <c r="F35" i="9"/>
  <c r="C35" i="9"/>
  <c r="Y34" i="9"/>
  <c r="M34" i="9" s="1"/>
  <c r="F34" i="9"/>
  <c r="C34" i="9"/>
  <c r="Y33" i="9"/>
  <c r="M33" i="9" s="1"/>
  <c r="F33" i="9"/>
  <c r="C33" i="9" s="1"/>
  <c r="Y32" i="9"/>
  <c r="M32" i="9" s="1"/>
  <c r="F32" i="9"/>
  <c r="C32" i="9"/>
  <c r="Y31" i="9"/>
  <c r="M31" i="9" s="1"/>
  <c r="F31" i="9"/>
  <c r="C31" i="9"/>
  <c r="Y30" i="9"/>
  <c r="M30" i="9" s="1"/>
  <c r="F30" i="9"/>
  <c r="C30" i="9"/>
  <c r="Y29" i="9"/>
  <c r="M29" i="9" s="1"/>
  <c r="F29" i="9"/>
  <c r="C29" i="9" s="1"/>
  <c r="Y28" i="9"/>
  <c r="M28" i="9" s="1"/>
  <c r="F28" i="9"/>
  <c r="C28" i="9"/>
  <c r="Y27" i="9"/>
  <c r="M27" i="9" s="1"/>
  <c r="F27" i="9"/>
  <c r="C27" i="9"/>
  <c r="Y26" i="9"/>
  <c r="M26" i="9" s="1"/>
  <c r="F26" i="9"/>
  <c r="C26" i="9"/>
  <c r="Y25" i="9"/>
  <c r="M25" i="9" s="1"/>
  <c r="F25" i="9"/>
  <c r="C25" i="9" s="1"/>
  <c r="Y24" i="9"/>
  <c r="M24" i="9" s="1"/>
  <c r="F24" i="9"/>
  <c r="C24" i="9"/>
  <c r="Y23" i="9"/>
  <c r="M23" i="9" s="1"/>
  <c r="F23" i="9"/>
  <c r="C23" i="9"/>
  <c r="Y22" i="9"/>
  <c r="M22" i="9" s="1"/>
  <c r="F22" i="9"/>
  <c r="C22" i="9"/>
  <c r="Y21" i="9"/>
  <c r="M21" i="9" s="1"/>
  <c r="F21" i="9"/>
  <c r="C21" i="9" s="1"/>
  <c r="Y20" i="9"/>
  <c r="M20" i="9" s="1"/>
  <c r="F20" i="9"/>
  <c r="C20" i="9"/>
  <c r="Y19" i="9"/>
  <c r="M19" i="9" s="1"/>
  <c r="F19" i="9"/>
  <c r="C19" i="9"/>
  <c r="Y18" i="9"/>
  <c r="M18" i="9" s="1"/>
  <c r="F18" i="9"/>
  <c r="C18" i="9"/>
  <c r="Y17" i="9"/>
  <c r="M17" i="9" s="1"/>
  <c r="F17" i="9"/>
  <c r="C17" i="9" s="1"/>
  <c r="Y16" i="9"/>
  <c r="M16" i="9" s="1"/>
  <c r="F16" i="9"/>
  <c r="C16" i="9"/>
  <c r="Y15" i="9"/>
  <c r="M15" i="9" s="1"/>
  <c r="F15" i="9"/>
  <c r="C15" i="9"/>
  <c r="Y14" i="9"/>
  <c r="M14" i="9" s="1"/>
  <c r="F14" i="9"/>
  <c r="C14" i="9"/>
  <c r="Y13" i="9"/>
  <c r="M13" i="9" s="1"/>
  <c r="F13" i="9"/>
  <c r="C13" i="9" s="1"/>
  <c r="Y12" i="9"/>
  <c r="M12" i="9" s="1"/>
  <c r="F12" i="9"/>
  <c r="C12" i="9"/>
  <c r="Y11" i="9"/>
  <c r="M11" i="9" s="1"/>
  <c r="F11" i="9"/>
  <c r="C11" i="9"/>
  <c r="Y10" i="9"/>
  <c r="M10" i="9" s="1"/>
  <c r="F10" i="9"/>
  <c r="C10" i="9"/>
  <c r="Y9" i="9"/>
  <c r="M9" i="9" s="1"/>
  <c r="F9" i="9"/>
  <c r="C9" i="9" s="1"/>
  <c r="Y8" i="9"/>
  <c r="M8" i="9" s="1"/>
  <c r="F8" i="9"/>
  <c r="C8" i="9"/>
  <c r="Y7" i="9"/>
  <c r="M7" i="9" s="1"/>
  <c r="F7" i="9"/>
  <c r="C7" i="9"/>
  <c r="Y6" i="9"/>
  <c r="M6" i="9" s="1"/>
  <c r="F6" i="9"/>
  <c r="C6" i="9"/>
  <c r="Y5" i="9"/>
  <c r="M5" i="9" s="1"/>
  <c r="F5" i="9"/>
  <c r="C5" i="9" s="1"/>
  <c r="Y4" i="9"/>
  <c r="M4" i="9" s="1"/>
  <c r="F4" i="9"/>
  <c r="C4" i="9"/>
  <c r="Y3" i="9"/>
  <c r="M3" i="9" s="1"/>
  <c r="F3" i="9"/>
  <c r="C3" i="9"/>
  <c r="Y2" i="9"/>
  <c r="M2" i="9" s="1"/>
  <c r="F2" i="9"/>
  <c r="C2" i="9"/>
  <c r="J111" i="4"/>
  <c r="I16" i="4"/>
  <c r="B16" i="4"/>
  <c r="O8" i="4"/>
  <c r="N8" i="4"/>
  <c r="AF2" i="9" s="1"/>
  <c r="K8" i="4"/>
  <c r="H8" i="4"/>
  <c r="AF1" i="9" s="1"/>
  <c r="AL3" i="9" l="1"/>
  <c r="AL6" i="9"/>
  <c r="AL4" i="9"/>
  <c r="AL7" i="9"/>
  <c r="AL10" i="9"/>
  <c r="AL13" i="9"/>
  <c r="AL9" i="9"/>
  <c r="AL12" i="9"/>
  <c r="AL5" i="9"/>
  <c r="AL8" i="9"/>
  <c r="AL11" i="9"/>
  <c r="AL14" i="9"/>
  <c r="AN4" i="9"/>
  <c r="AN8" i="9"/>
  <c r="AN12" i="9"/>
  <c r="AN3" i="9"/>
  <c r="AN5" i="9"/>
  <c r="AN9" i="9"/>
  <c r="AN13" i="9"/>
  <c r="AN11" i="9"/>
  <c r="AN6" i="9"/>
  <c r="AN10" i="9"/>
  <c r="AN14" i="9"/>
  <c r="AN7" i="9"/>
  <c r="AC4" i="9"/>
  <c r="AK4" i="9" s="1"/>
  <c r="AC8" i="9"/>
  <c r="AK8" i="9" s="1"/>
  <c r="AC12" i="9"/>
  <c r="AK12" i="9" s="1"/>
  <c r="AC3" i="9"/>
  <c r="AK3" i="9" s="1"/>
  <c r="AC5" i="9"/>
  <c r="AK5" i="9" s="1"/>
  <c r="AC9" i="9"/>
  <c r="AK9" i="9" s="1"/>
  <c r="AC13" i="9"/>
  <c r="AK13" i="9" s="1"/>
  <c r="AC11" i="9"/>
  <c r="AK11" i="9" s="1"/>
  <c r="AC6" i="9"/>
  <c r="AK6" i="9" s="1"/>
  <c r="AC10" i="9"/>
  <c r="AK10" i="9" s="1"/>
  <c r="AC14" i="9"/>
  <c r="AK14" i="9" s="1"/>
  <c r="AC7" i="9"/>
  <c r="AK7" i="9" s="1"/>
  <c r="AJ7" i="9"/>
  <c r="J112" i="4"/>
  <c r="AJ9" i="9"/>
  <c r="AJ8" i="9"/>
  <c r="AJ13" i="9"/>
  <c r="AJ14" i="9"/>
  <c r="AJ10" i="9"/>
  <c r="AJ12" i="9"/>
  <c r="AJ11" i="9"/>
  <c r="AJ3" i="9"/>
  <c r="AJ4" i="9"/>
  <c r="AJ5" i="9"/>
  <c r="AJ6" i="9"/>
  <c r="J113" i="4"/>
  <c r="AG3" i="9"/>
  <c r="AG8" i="9"/>
  <c r="AG12" i="9"/>
  <c r="AG11" i="9"/>
  <c r="AG4" i="9"/>
  <c r="AG9" i="9"/>
  <c r="AG13" i="9"/>
  <c r="AG6" i="9"/>
  <c r="AG10" i="9"/>
  <c r="AG14" i="9"/>
  <c r="AG7" i="9"/>
  <c r="AG5" i="9"/>
  <c r="K114" i="4"/>
  <c r="J114" i="4" s="1"/>
  <c r="AH8" i="9" l="1"/>
  <c r="AI8" i="9" s="1"/>
  <c r="AO8" i="9" s="1"/>
  <c r="AH10" i="9"/>
  <c r="AI10" i="9" s="1"/>
  <c r="AO10" i="9" s="1"/>
  <c r="AH4" i="9"/>
  <c r="AI4" i="9" s="1"/>
  <c r="AO4" i="9" s="1"/>
  <c r="AH3" i="9"/>
  <c r="AI3" i="9" s="1"/>
  <c r="AO3" i="9" s="1"/>
  <c r="AH14" i="9"/>
  <c r="AI14" i="9" s="1"/>
  <c r="AO14" i="9" s="1"/>
  <c r="AH5" i="9"/>
  <c r="AI5" i="9" s="1"/>
  <c r="AO5" i="9" s="1"/>
  <c r="AH6" i="9"/>
  <c r="AI6" i="9" s="1"/>
  <c r="AO6" i="9" s="1"/>
  <c r="AH11" i="9"/>
  <c r="AI11" i="9" s="1"/>
  <c r="AO11" i="9" s="1"/>
  <c r="AH9" i="9"/>
  <c r="AI9" i="9" s="1"/>
  <c r="AH7" i="9"/>
  <c r="AI7" i="9" s="1"/>
  <c r="AO7" i="9" s="1"/>
  <c r="AH13" i="9"/>
  <c r="AI13" i="9" s="1"/>
  <c r="AO13" i="9" s="1"/>
  <c r="AH12" i="9"/>
  <c r="AI12" i="9" s="1"/>
  <c r="AO12" i="9" s="1"/>
  <c r="J116" i="4"/>
  <c r="J117" i="4" s="1"/>
  <c r="AP5" i="9" l="1"/>
  <c r="AQ5" i="9" s="1"/>
  <c r="AP9" i="9"/>
  <c r="AP13" i="9"/>
  <c r="AQ13" i="9" s="1"/>
  <c r="AP8" i="9"/>
  <c r="AQ8" i="9" s="1"/>
  <c r="AP6" i="9"/>
  <c r="AQ6" i="9" s="1"/>
  <c r="AP10" i="9"/>
  <c r="AQ10" i="9" s="1"/>
  <c r="AP14" i="9"/>
  <c r="AQ14" i="9" s="1"/>
  <c r="AP12" i="9"/>
  <c r="AQ12" i="9" s="1"/>
  <c r="AP7" i="9"/>
  <c r="AQ7" i="9" s="1"/>
  <c r="AP11" i="9"/>
  <c r="AQ11" i="9" s="1"/>
  <c r="AP3" i="9"/>
  <c r="AQ3" i="9" s="1"/>
  <c r="AP4" i="9"/>
  <c r="AQ4" i="9" s="1"/>
  <c r="AO9" i="9"/>
  <c r="AQ9" i="9" l="1"/>
  <c r="AS9" i="9" s="1"/>
  <c r="AS3" i="9"/>
  <c r="AR3" i="9"/>
  <c r="AS13" i="9"/>
  <c r="AR13" i="9"/>
  <c r="AS11" i="9"/>
  <c r="AR11" i="9"/>
  <c r="AS10" i="9"/>
  <c r="AR10" i="9"/>
  <c r="AS7" i="9"/>
  <c r="AR7" i="9"/>
  <c r="AS6" i="9"/>
  <c r="AR6" i="9"/>
  <c r="AS5" i="9"/>
  <c r="AR5" i="9"/>
  <c r="AS4" i="9"/>
  <c r="AR4" i="9"/>
  <c r="AS12" i="9"/>
  <c r="AR12" i="9"/>
  <c r="AR8" i="9"/>
  <c r="AS8" i="9"/>
  <c r="AS14" i="9"/>
  <c r="AR14" i="9"/>
  <c r="AR9" i="9" l="1"/>
</calcChain>
</file>

<file path=xl/sharedStrings.xml><?xml version="1.0" encoding="utf-8"?>
<sst xmlns="http://schemas.openxmlformats.org/spreadsheetml/2006/main" count="833" uniqueCount="173">
  <si>
    <t>Mês</t>
  </si>
  <si>
    <t>Preço (US$/saca) - Paranaguá</t>
  </si>
  <si>
    <t>Preço (R$/saca) - Paranaguá</t>
  </si>
  <si>
    <t>Cotação (R$/Dolar)</t>
  </si>
  <si>
    <t>Colheita</t>
  </si>
  <si>
    <t>Chave</t>
  </si>
  <si>
    <t>Mês/Ano2</t>
  </si>
  <si>
    <t>Fevereiro</t>
  </si>
  <si>
    <t>Mês_num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</si>
  <si>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</si>
  <si>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</si>
  <si>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</si>
  <si>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</si>
  <si>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</si>
  <si>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</si>
  <si>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</si>
  <si>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</si>
  <si>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</si>
  <si>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</si>
  <si>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</si>
  <si>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 de Colheita</t>
  </si>
  <si>
    <t>Grupo de Pesquisa e Extensão em Logística Agroindustrial (ESALQ-LOG)</t>
  </si>
  <si>
    <t>Responsáveis:</t>
  </si>
  <si>
    <t>Thiago Guilherme Péra</t>
  </si>
  <si>
    <t>Desenvolvimento do material:</t>
  </si>
  <si>
    <t>Para mais informações, acesse: esalqlog.esalq.usp.br</t>
  </si>
  <si>
    <t>Fernando Vinícius da Rocha (fernando.vinicius.rocha@usp.br)</t>
  </si>
  <si>
    <t>Prof. Dr. José Vicente Caixeta Filho</t>
  </si>
  <si>
    <t>Corredor Logístico</t>
  </si>
  <si>
    <t>Distância</t>
  </si>
  <si>
    <t>Mês de Comercialização</t>
  </si>
  <si>
    <t>PARÂMETROS DE ENTRADA</t>
  </si>
  <si>
    <t>INDICADORES DOS FRETES RODOVIÁRIOS PARA O TRANSPORTE DE SOJA (2016)</t>
  </si>
  <si>
    <t>INDICADORES DE PREÇOS DE ARMAZENAGEM DE GRÃOS (2016)</t>
  </si>
  <si>
    <t>Origem</t>
  </si>
  <si>
    <t>UF</t>
  </si>
  <si>
    <t>Destino</t>
  </si>
  <si>
    <t>MT</t>
  </si>
  <si>
    <t>Sorriso</t>
  </si>
  <si>
    <t>Rio Verde</t>
  </si>
  <si>
    <t>Santarém</t>
  </si>
  <si>
    <t>PA</t>
  </si>
  <si>
    <t>Santos</t>
  </si>
  <si>
    <t>SP</t>
  </si>
  <si>
    <t>GO</t>
  </si>
  <si>
    <t>São Luís</t>
  </si>
  <si>
    <t>MA</t>
  </si>
  <si>
    <t>Balsas</t>
  </si>
  <si>
    <t>Primavera do Leste</t>
  </si>
  <si>
    <t>Colíder</t>
  </si>
  <si>
    <t>Cristalina</t>
  </si>
  <si>
    <t>Dourados</t>
  </si>
  <si>
    <t>MS</t>
  </si>
  <si>
    <t>Goiatuba</t>
  </si>
  <si>
    <t>Chave2</t>
  </si>
  <si>
    <t>Meses de armazenamento</t>
  </si>
  <si>
    <t>INDICADORES DE PREÇOS DE COMERCIALIZAÇÃO E DE EXPORTAÇÃO DE SOJA (2016)</t>
  </si>
  <si>
    <t>frete_exp</t>
  </si>
  <si>
    <t>frete_ponta</t>
  </si>
  <si>
    <t>armazenagem</t>
  </si>
  <si>
    <t>Preço (R$/t) - Paranaguá</t>
  </si>
  <si>
    <t>preço_soja</t>
  </si>
  <si>
    <t>tarmfixa</t>
  </si>
  <si>
    <t>tarmvar</t>
  </si>
  <si>
    <t>carencia</t>
  </si>
  <si>
    <t>R$/t</t>
  </si>
  <si>
    <t>capac_est(t)_mun</t>
  </si>
  <si>
    <t>capac_est(t)_uf</t>
  </si>
  <si>
    <t>capac_est(t)_micro</t>
  </si>
  <si>
    <t>exp(t)_total</t>
  </si>
  <si>
    <t>exp(t)_santos</t>
  </si>
  <si>
    <t>exp(t)_paranaguá</t>
  </si>
  <si>
    <t>exp(t)_porto2</t>
  </si>
  <si>
    <t>frete_ponta_fixo</t>
  </si>
  <si>
    <t>frete_ponta_var</t>
  </si>
  <si>
    <t>dist_ponta</t>
  </si>
  <si>
    <t>Exportação BR / UF</t>
  </si>
  <si>
    <t>Exportação UF/porto</t>
  </si>
  <si>
    <t>chave1</t>
  </si>
  <si>
    <t>INDICADORES DE CAPACIDADE ESTÁTICA DE ARMAZENAGEM E DE PRODUÇÃO DE GRÃOS</t>
  </si>
  <si>
    <t>Preço venda</t>
  </si>
  <si>
    <t>chave2</t>
  </si>
  <si>
    <t>Armazenagem</t>
  </si>
  <si>
    <t>Receita Líquida</t>
  </si>
  <si>
    <t>Venda</t>
  </si>
  <si>
    <t>Meses arma</t>
  </si>
  <si>
    <t>custo arm</t>
  </si>
  <si>
    <t>frete-exp</t>
  </si>
  <si>
    <t>Custo de Elevação</t>
  </si>
  <si>
    <t>ReceitaLíquida_carm</t>
  </si>
  <si>
    <t>chave3</t>
  </si>
  <si>
    <t>Frete-Ponta_colheita</t>
  </si>
  <si>
    <t>frete-ponta</t>
  </si>
  <si>
    <t>ReceitaLíquida_colheita</t>
  </si>
  <si>
    <t>Benefic_arm</t>
  </si>
  <si>
    <t>bneg</t>
  </si>
  <si>
    <t>bpos</t>
  </si>
  <si>
    <t>Distância Fazenda-Armazém (km)</t>
  </si>
  <si>
    <t>AVALIAÇÃO DOS GANHOS/PERDAS DE RECEITA COM A UTILIZAÇÃO DA ARMAZENAGEM</t>
  </si>
  <si>
    <t>ANÁLISE DO IMPACTO DA LOGÍSTICA NA RECEITA DOS EXPORTADORES</t>
  </si>
  <si>
    <t>Transporte (Fazenda-Armazém)</t>
  </si>
  <si>
    <t>Transporte (Exportação)</t>
  </si>
  <si>
    <t>Fonte: CEPEA (2017)</t>
  </si>
  <si>
    <t>Fonte: SECEX (2017)</t>
  </si>
  <si>
    <t>PREÇO DA SOJA NO MERCADO INTERNACIONAL</t>
  </si>
  <si>
    <t>Fonte: Sistema de Informações de Fretes (SIFRECA) | Grupo de Pesquisa e Extensão em Logística Agroindustrial (ESALQ-LOG)</t>
  </si>
  <si>
    <t>Fonte: Sistema de Informações de Armazenagem (SIARMA) | Grupo de Pesquisa e Extensão em Logística Agroindustrial (ESALQ-LOG)</t>
  </si>
  <si>
    <t>PORTO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</si>
  <si>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</si>
  <si>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</si>
  <si>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</si>
  <si>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</si>
  <si>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</si>
  <si>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</si>
  <si>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</si>
  <si>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</si>
  <si>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</si>
  <si>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</si>
  <si>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</si>
  <si>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</si>
  <si>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</si>
  <si>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Barcarena (PA)</t>
  </si>
  <si>
    <t>Outros</t>
  </si>
  <si>
    <t>Paranaguá (PR)</t>
  </si>
  <si>
    <t>Santarém (PA)</t>
  </si>
  <si>
    <t>Santos (SP)</t>
  </si>
  <si>
    <t>São Francisco do Sul (SC)</t>
  </si>
  <si>
    <t>São Luís (MA)</t>
  </si>
  <si>
    <t>Vitória (ES)</t>
  </si>
  <si>
    <t>Ranking</t>
  </si>
  <si>
    <t>Brasil</t>
  </si>
  <si>
    <t>BR</t>
  </si>
  <si>
    <t>Máscara - Gráfico_exp</t>
  </si>
  <si>
    <t>Primavera do Leste (MT) - Santos (SP) [1685 km]</t>
  </si>
  <si>
    <t>SIMULADOR DE ESTRATÉGIAS LOGÍSTICAS (2016)</t>
  </si>
  <si>
    <t>MESO</t>
  </si>
  <si>
    <t>Mun</t>
  </si>
  <si>
    <t>Dias de Armazenamento</t>
  </si>
  <si>
    <t>R$/t.dia</t>
  </si>
  <si>
    <t>Balsas (MA) - São Luís (MA) [834 km]</t>
  </si>
  <si>
    <t>Colíder (MT) - Santos (SP) [2430 km]</t>
  </si>
  <si>
    <t>Cristalina (GO) - Santos (SP) [954 km]</t>
  </si>
  <si>
    <t>Dourados (MS) - Santos (SP) [1069 km]</t>
  </si>
  <si>
    <t>Goiatuba (GO) - Santos (SP) [840 km]</t>
  </si>
  <si>
    <t>Rio Verde (GO) - Santos (SP) [1070 km]</t>
  </si>
  <si>
    <t>Sorriso (MT) - Santos (SP) [2211 km]</t>
  </si>
  <si>
    <t>prod_mun_soja</t>
  </si>
  <si>
    <t>Gerais de Balsas</t>
  </si>
  <si>
    <t>Entorno de Brasília</t>
  </si>
  <si>
    <t>Meia Ponte</t>
  </si>
  <si>
    <t>Sudoeste de Goiás</t>
  </si>
  <si>
    <t>Alto Teles Pires</t>
  </si>
  <si>
    <t>Micro</t>
  </si>
  <si>
    <t>prod_micro_soja</t>
  </si>
  <si>
    <t>prod_uf_soja</t>
  </si>
  <si>
    <t>prod_mun_soja+milho</t>
  </si>
  <si>
    <t>prod_micro_soja+milho</t>
  </si>
  <si>
    <t>prod_uf_soja+milho</t>
  </si>
  <si>
    <t>BALSAS</t>
  </si>
  <si>
    <t>COLÍDER</t>
  </si>
  <si>
    <t>CRISTALINA</t>
  </si>
  <si>
    <t>DOURADOS</t>
  </si>
  <si>
    <t>GOIATUBA</t>
  </si>
  <si>
    <t>PRIMAVERA DO LESTE</t>
  </si>
  <si>
    <t>RIO VERDE</t>
  </si>
  <si>
    <t>SORRISO</t>
  </si>
  <si>
    <t>Fonte: CONAB (2016) e IBGE (2017)</t>
  </si>
  <si>
    <t>Capacidade de Armazenagem</t>
  </si>
  <si>
    <t>Produção (Soja e Milho)</t>
  </si>
  <si>
    <t>AVALIAÇÃO DOS DIFERENTES CENÁRIOS COM A UTILIZAÇÃO DA ARMAZENAGEM</t>
  </si>
  <si>
    <t>Porto</t>
  </si>
  <si>
    <t>AVALIAÇÃO DAS ESTRATÉGIAS LOGÍSTICAS DESCONTANDO OS CUSTOS LOGÍSTICOS</t>
  </si>
  <si>
    <t>Diferença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</si>
</sst>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28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sz val="14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</cellStyleXfs>
  <cellXfs count="60">
    <xf numFmtId="0" fontId="0" fillId="0" borderId="0" xfId="0"/>
    <xf numFmtId="43" fontId="0" fillId="0" borderId="0" xfId="1" applyFont="1"/>
    <xf numFmtId="0" fontId="0" fillId="0" borderId="0" xfId="0" applyNumberFormat="1"/>
    <xf numFmtId="0" fontId="0" fillId="0" borderId="1" xfId="0" applyBorder="1"/>
    <xf numFmtId="17" fontId="0" fillId="0" borderId="0" xfId="0" applyNumberFormat="1"/>
    <xf numFmtId="0" fontId="0" fillId="0" borderId="0" xfId="0" quotePrefix="1"/>
    <xf numFmtId="0" fontId="0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10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/>
    <xf numFmtId="10" fontId="11" fillId="0" borderId="0" xfId="2" applyNumberFormat="1" applyFont="1" applyAlignment="1">
      <alignment vertical="top"/>
    </xf>
    <xf numFmtId="0" fontId="2" fillId="0" borderId="0" xfId="0" applyFont="1" applyFill="1" applyAlignment="1"/>
    <xf numFmtId="0" fontId="0" fillId="0" borderId="0" xfId="0" applyFill="1"/>
    <xf numFmtId="44" fontId="0" fillId="0" borderId="0" xfId="4" applyFont="1"/>
    <xf numFmtId="0" fontId="4" fillId="0" borderId="0" xfId="0" applyFont="1"/>
    <xf numFmtId="44" fontId="4" fillId="0" borderId="0" xfId="4" applyFont="1"/>
    <xf numFmtId="0" fontId="5" fillId="6" borderId="0" xfId="0" applyFont="1" applyFill="1" applyAlignment="1">
      <alignment horizontal="center" vertical="center"/>
    </xf>
    <xf numFmtId="0" fontId="13" fillId="0" borderId="0" xfId="0" applyFont="1"/>
    <xf numFmtId="0" fontId="0" fillId="0" borderId="1" xfId="0" applyNumberFormat="1" applyFont="1" applyFill="1" applyBorder="1" applyAlignment="1"/>
    <xf numFmtId="43" fontId="0" fillId="0" borderId="1" xfId="1" applyFont="1" applyFill="1" applyBorder="1" applyAlignment="1"/>
    <xf numFmtId="43" fontId="0" fillId="0" borderId="1" xfId="1" applyFont="1" applyBorder="1"/>
    <xf numFmtId="0" fontId="0" fillId="7" borderId="0" xfId="0" applyFill="1"/>
    <xf numFmtId="17" fontId="0" fillId="0" borderId="1" xfId="0" applyNumberFormat="1" applyFont="1" applyFill="1" applyBorder="1" applyAlignment="1"/>
    <xf numFmtId="0" fontId="0" fillId="0" borderId="0" xfId="0" applyBorder="1"/>
    <xf numFmtId="0" fontId="0" fillId="5" borderId="0" xfId="0" applyFill="1"/>
    <xf numFmtId="44" fontId="0" fillId="0" borderId="0" xfId="0" applyNumberFormat="1"/>
    <xf numFmtId="0" fontId="12" fillId="2" borderId="0" xfId="0" applyFont="1" applyFill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right"/>
    </xf>
    <xf numFmtId="0" fontId="17" fillId="0" borderId="11" xfId="0" applyFont="1" applyBorder="1"/>
    <xf numFmtId="0" fontId="18" fillId="0" borderId="11" xfId="0" applyFont="1" applyBorder="1"/>
    <xf numFmtId="0" fontId="18" fillId="0" borderId="12" xfId="0" applyFont="1" applyBorder="1"/>
    <xf numFmtId="0" fontId="17" fillId="0" borderId="13" xfId="0" applyFon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/>
    <xf numFmtId="0" fontId="18" fillId="0" borderId="14" xfId="0" applyFont="1" applyBorder="1"/>
    <xf numFmtId="0" fontId="16" fillId="0" borderId="13" xfId="0" applyFont="1" applyBorder="1" applyAlignment="1">
      <alignment horizontal="right"/>
    </xf>
    <xf numFmtId="0" fontId="17" fillId="0" borderId="13" xfId="0" applyFont="1" applyBorder="1"/>
    <xf numFmtId="0" fontId="17" fillId="0" borderId="15" xfId="0" applyFont="1" applyBorder="1"/>
    <xf numFmtId="0" fontId="17" fillId="0" borderId="16" xfId="0" applyFont="1" applyBorder="1"/>
    <xf numFmtId="0" fontId="18" fillId="0" borderId="16" xfId="0" applyFont="1" applyBorder="1"/>
    <xf numFmtId="0" fontId="18" fillId="0" borderId="17" xfId="0" applyFont="1" applyBorder="1"/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horizontal="center" vertical="center"/>
      <protection hidden="1"/>
    </xf>
    <xf numFmtId="0" fontId="15" fillId="0" borderId="4" xfId="0" applyFont="1" applyFill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6" xfId="0" applyFont="1" applyFill="1" applyBorder="1" applyAlignment="1" applyProtection="1">
      <alignment horizontal="center" vertical="center"/>
      <protection hidden="1"/>
    </xf>
    <xf numFmtId="0" fontId="15" fillId="0" borderId="7" xfId="0" applyFont="1" applyFill="1" applyBorder="1" applyAlignment="1" applyProtection="1">
      <alignment horizontal="center" vertical="center"/>
      <protection hidden="1"/>
    </xf>
    <xf numFmtId="0" fontId="15" fillId="0" borderId="8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0" fontId="8" fillId="6" borderId="0" xfId="5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>
      <alignment horizontal="center" vertical="center"/>
    </xf>
    <xf numFmtId="0" fontId="0" fillId="0" borderId="0" xfId="0" applyProtection="1">
      <protection locked="0"/>
    </xf>
  </cellXfs>
  <cellStyles count="7">
    <cellStyle name="Hiperlink" xfId="5" builtinId="8"/>
    <cellStyle name="Moeda" xfId="4" builtinId="4"/>
    <cellStyle name="Normal" xfId="0" builtinId="0"/>
    <cellStyle name="Normal 2" xfId="6"/>
    <cellStyle name="Porcentagem" xfId="2" builtinId="5"/>
    <cellStyle name="Vírgula" xfId="1" builtinId="3"/>
    <cellStyle name="Vírgula 3 2" xfId="3"/>
  </cellStyles>
  <dxfs count="0"/>
  <tableStyles count="0" defaultTableStyle="TableStyleMedium2" defaultPivotStyle="PivotStyleLight16"/>
  <colors>
    <mruColors>
      <color rgb="FFF11717"/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preço</c:v>
          </c:tx>
          <c:spPr>
            <a:ln w="38100" cap="rnd" cmpd="sng" algn="ctr">
              <a:solidFill>
                <a:schemeClr val="accent5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preço_soja!$A$2:$A$13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preço_soja!$E$2:$E$13</c:f>
              <c:numCache>
                <c:formatCode>_("R$"* #,##0.00_);_("R$"* \(#,##0.00\);_("R$"* "-"??_);_(@_)</c:formatCode>
                <c:ptCount val="12"/>
                <c:pt idx="0">
                  <c:v>1379.1000000000001</c:v>
                </c:pt>
                <c:pt idx="1">
                  <c:v>1297.1578947368421</c:v>
                </c:pt>
                <c:pt idx="2">
                  <c:v>1242.1287878787878</c:v>
                </c:pt>
                <c:pt idx="3">
                  <c:v>1300.7083333333335</c:v>
                </c:pt>
                <c:pt idx="4">
                  <c:v>1440.4206349206347</c:v>
                </c:pt>
                <c:pt idx="5">
                  <c:v>1586.4696969696972</c:v>
                </c:pt>
                <c:pt idx="6">
                  <c:v>1457.7380952380952</c:v>
                </c:pt>
                <c:pt idx="7">
                  <c:v>1361.536231884058</c:v>
                </c:pt>
                <c:pt idx="8">
                  <c:v>1324.9999999999998</c:v>
                </c:pt>
                <c:pt idx="9">
                  <c:v>1278.3916666666667</c:v>
                </c:pt>
                <c:pt idx="10">
                  <c:v>1304.5416666666667</c:v>
                </c:pt>
                <c:pt idx="11">
                  <c:v>1307.1507936507937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-626930016"/>
        <c:axId val="-626929472"/>
      </c:lineChart>
      <c:dateAx>
        <c:axId val="-6269300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26929472"/>
        <c:crosses val="autoZero"/>
        <c:auto val="1"/>
        <c:lblOffset val="100"/>
        <c:baseTimeUnit val="months"/>
      </c:dateAx>
      <c:valAx>
        <c:axId val="-626929472"/>
        <c:scaling>
          <c:orientation val="minMax"/>
          <c:min val="1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non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cap="none" baseline="0"/>
                  <a:t>Preço (R$/t)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none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26930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preço_armazenagem!$D$1</c:f>
              <c:strCache>
                <c:ptCount val="1"/>
                <c:pt idx="0">
                  <c:v>R$/t.dia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rgbClr val="C00000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4.030676210942637E-3"/>
                  <c:y val="5.68019501516213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Ref>
              <c:f>preço_armazenagem!$B$3:$B$13</c:f>
              <c:numCache>
                <c:formatCode>General</c:formatCode>
                <c:ptCount val="11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</c:numCache>
            </c:numRef>
          </c:cat>
          <c:val>
            <c:numRef>
              <c:f>preço_armazenagem!$D$3:$D$13</c:f>
              <c:numCache>
                <c:formatCode>_("R$"* #,##0.00_);_("R$"* \(#,##0.00\);_("R$"* "-"??_);_(@_)</c:formatCode>
                <c:ptCount val="11"/>
                <c:pt idx="0">
                  <c:v>0.91888888888888876</c:v>
                </c:pt>
                <c:pt idx="1">
                  <c:v>0.52888888888888885</c:v>
                </c:pt>
                <c:pt idx="2">
                  <c:v>0.40440740740740744</c:v>
                </c:pt>
                <c:pt idx="3">
                  <c:v>0.34216666666666673</c:v>
                </c:pt>
                <c:pt idx="4">
                  <c:v>0.30482222222222222</c:v>
                </c:pt>
                <c:pt idx="5">
                  <c:v>0.27992592592592597</c:v>
                </c:pt>
                <c:pt idx="6">
                  <c:v>0.26214285714285718</c:v>
                </c:pt>
                <c:pt idx="7">
                  <c:v>0.24880555555555561</c:v>
                </c:pt>
                <c:pt idx="8">
                  <c:v>0.23843209876543214</c:v>
                </c:pt>
                <c:pt idx="9">
                  <c:v>0.23013333333333341</c:v>
                </c:pt>
                <c:pt idx="10">
                  <c:v>0.22334343434343457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3353216"/>
        <c:axId val="-413350496"/>
      </c:lineChart>
      <c:lineChart>
        <c:grouping val="standard"/>
        <c:varyColors val="0"/>
        <c:ser>
          <c:idx val="1"/>
          <c:order val="1"/>
          <c:spPr>
            <a:ln w="381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1741828169224955E-2"/>
                  <c:y val="-2.98577430813050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</c:trendlineLbl>
          </c:trendline>
          <c:cat>
            <c:numRef>
              <c:f>preço_armazenagem!$B$3:$B$13</c:f>
              <c:numCache>
                <c:formatCode>General</c:formatCode>
                <c:ptCount val="11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</c:numCache>
            </c:numRef>
          </c:cat>
          <c:val>
            <c:numRef>
              <c:f>preço_armazenagem!$C$3:$C$13</c:f>
              <c:numCache>
                <c:formatCode>_("R$"* #,##0.00_);_("R$"* \(#,##0.00\);_("R$"* "-"??_);_(@_)</c:formatCode>
                <c:ptCount val="11"/>
                <c:pt idx="0">
                  <c:v>27.566666666666663</c:v>
                </c:pt>
                <c:pt idx="1">
                  <c:v>31.733333333333334</c:v>
                </c:pt>
                <c:pt idx="2">
                  <c:v>36.396666666666668</c:v>
                </c:pt>
                <c:pt idx="3">
                  <c:v>41.060000000000009</c:v>
                </c:pt>
                <c:pt idx="4">
                  <c:v>45.723333333333336</c:v>
                </c:pt>
                <c:pt idx="5">
                  <c:v>50.386666666666677</c:v>
                </c:pt>
                <c:pt idx="6">
                  <c:v>55.050000000000011</c:v>
                </c:pt>
                <c:pt idx="7">
                  <c:v>59.713333333333345</c:v>
                </c:pt>
                <c:pt idx="8">
                  <c:v>64.376666666666679</c:v>
                </c:pt>
                <c:pt idx="9">
                  <c:v>69.04000000000002</c:v>
                </c:pt>
                <c:pt idx="10">
                  <c:v>73.703333333333404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3349952"/>
        <c:axId val="-413355936"/>
      </c:lineChart>
      <c:catAx>
        <c:axId val="-41335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Dias de Armazenagem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13350496"/>
        <c:crosses val="autoZero"/>
        <c:auto val="1"/>
        <c:lblAlgn val="ctr"/>
        <c:lblOffset val="100"/>
        <c:noMultiLvlLbl val="0"/>
      </c:catAx>
      <c:valAx>
        <c:axId val="-4133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Preço da Armazenagem (R$/t.dia)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13353216"/>
        <c:crosses val="autoZero"/>
        <c:crossBetween val="between"/>
      </c:valAx>
      <c:valAx>
        <c:axId val="-413355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Preço da Armazenagem (R$/t)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13349952"/>
        <c:crosses val="max"/>
        <c:crossBetween val="between"/>
      </c:valAx>
      <c:catAx>
        <c:axId val="-413349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1335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Frete Rodoviário (R$/t)</c:v>
          </c:tx>
          <c:spPr>
            <a:ln w="38100" cap="rnd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12"/>
            <c:spPr>
              <a:solidFill>
                <a:srgbClr val="002060"/>
              </a:solidFill>
              <a:ln w="38100" cap="flat" cmpd="sng" algn="ctr">
                <a:noFill/>
                <a:round/>
              </a:ln>
              <a:effectLst/>
            </c:spPr>
          </c:marker>
          <c:cat>
            <c:numRef>
              <c:f>frete_rodo!$H$1:$S$1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base_!$M$2:$M$13</c:f>
              <c:numCache>
                <c:formatCode>_("R$"* #,##0.00_);_("R$"* \(#,##0.00\);_("R$"* "-"??_);_(@_)</c:formatCode>
                <c:ptCount val="12"/>
                <c:pt idx="0">
                  <c:v>10.583549999999999</c:v>
                </c:pt>
                <c:pt idx="1">
                  <c:v>11.303550000000001</c:v>
                </c:pt>
                <c:pt idx="2">
                  <c:v>11.003550000000001</c:v>
                </c:pt>
                <c:pt idx="3">
                  <c:v>13.46855</c:v>
                </c:pt>
                <c:pt idx="4">
                  <c:v>12.80855</c:v>
                </c:pt>
                <c:pt idx="5">
                  <c:v>12.378550000000001</c:v>
                </c:pt>
                <c:pt idx="6">
                  <c:v>10.583549999999999</c:v>
                </c:pt>
                <c:pt idx="7">
                  <c:v>11.303550000000001</c:v>
                </c:pt>
                <c:pt idx="8">
                  <c:v>11.003550000000001</c:v>
                </c:pt>
                <c:pt idx="9">
                  <c:v>13.46855</c:v>
                </c:pt>
                <c:pt idx="10">
                  <c:v>12.80855</c:v>
                </c:pt>
                <c:pt idx="11">
                  <c:v>12.378550000000001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-406655264"/>
        <c:axId val="-406654176"/>
      </c:lineChart>
      <c:dateAx>
        <c:axId val="-4066552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54176"/>
        <c:crosses val="autoZero"/>
        <c:auto val="1"/>
        <c:lblOffset val="100"/>
        <c:baseTimeUnit val="months"/>
      </c:dateAx>
      <c:valAx>
        <c:axId val="-406654176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non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cap="none" baseline="0"/>
                  <a:t>Frete (R$/t)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none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5526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129305033170706"/>
          <c:y val="0.15223596948188609"/>
          <c:w val="0.44246225797037703"/>
          <c:h val="0.8018819189543824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3944614458682083E-2"/>
                  <c:y val="-0.153679885355565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871421584560935"/>
                      <c:h val="0.1560410509142924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8951302316440575E-2"/>
                  <c:y val="-0.110787536709614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897844073784045E-2"/>
                  <c:y val="2.07382172015849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009704794218593E-2"/>
                  <c:y val="0.1256893765999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11145929012974E-2"/>
                  <c:y val="-0.194948662804360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SIMULADOR!$I$112:$I$116</c:f>
              <c:strCache>
                <c:ptCount val="5"/>
                <c:pt idx="0">
                  <c:v>Transporte (Exportação)</c:v>
                </c:pt>
                <c:pt idx="1">
                  <c:v>Transporte (Fazenda-Armazém)</c:v>
                </c:pt>
                <c:pt idx="2">
                  <c:v>Armazenagem</c:v>
                </c:pt>
                <c:pt idx="3">
                  <c:v>Porto</c:v>
                </c:pt>
                <c:pt idx="4">
                  <c:v>Receita Líquida</c:v>
                </c:pt>
              </c:strCache>
            </c:strRef>
          </c:cat>
          <c:val>
            <c:numRef>
              <c:f>SIMULADOR!$J$112:$J$116</c:f>
              <c:numCache>
                <c:formatCode>_("R$"* #,##0.00_);_("R$"* \(#,##0.00\);_("R$"* "-"??_);_(@_)</c:formatCode>
                <c:ptCount val="5"/>
                <c:pt idx="0">
                  <c:v>186.5</c:v>
                </c:pt>
                <c:pt idx="1">
                  <c:v>11.303550000000001</c:v>
                </c:pt>
                <c:pt idx="2">
                  <c:v>36.396666666666668</c:v>
                </c:pt>
                <c:pt idx="3">
                  <c:v>35</c:v>
                </c:pt>
                <c:pt idx="4">
                  <c:v>1171.2204182539679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base_!$AR$2</c:f>
              <c:strCache>
                <c:ptCount val="1"/>
                <c:pt idx="0">
                  <c:v>bneg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base_!$AF$3:$AF$14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base_!$AR$3:$AR$14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-102.04907352472094</c:v>
                </c:pt>
                <c:pt idx="3">
                  <c:v>-58.036194736842162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-25.732861403508878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base_!$AS$2</c:f>
              <c:strCache>
                <c:ptCount val="1"/>
                <c:pt idx="0">
                  <c:v>bpos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base_!$AF$3:$AF$14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base_!$AS$3:$AS$14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90.112773517125788</c:v>
                </c:pt>
                <c:pt idx="5">
                  <c:v>244.22350223285525</c:v>
                </c:pt>
                <c:pt idx="6">
                  <c:v>123.13356716791964</c:v>
                </c:pt>
                <c:pt idx="7">
                  <c:v>30.099270480549194</c:v>
                </c:pt>
                <c:pt idx="8">
                  <c:v>11.279505263157716</c:v>
                </c:pt>
                <c:pt idx="9">
                  <c:v>0</c:v>
                </c:pt>
                <c:pt idx="10">
                  <c:v>5.1538052631578921</c:v>
                </c:pt>
                <c:pt idx="11">
                  <c:v>2.1995989139516041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50"/>
        <c:axId val="-406652000"/>
        <c:axId val="-406649824"/>
      </c:barChart>
      <c:catAx>
        <c:axId val="-40665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49824"/>
        <c:crosses val="autoZero"/>
        <c:auto val="1"/>
        <c:lblAlgn val="ctr"/>
        <c:lblOffset val="100"/>
        <c:noMultiLvlLbl val="0"/>
      </c:catAx>
      <c:valAx>
        <c:axId val="-4066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Ganho/Perda (R$/t)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5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Frete Rodoviário (R$/t)</c:v>
          </c:tx>
          <c:spPr>
            <a:ln w="22225" cap="rnd" cmpd="sng" algn="ctr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chemeClr val="bg2">
                  <a:lumMod val="25000"/>
                </a:schemeClr>
              </a:solidFill>
              <a:ln w="28575" cap="flat" cmpd="sng" algn="ctr">
                <a:solidFill>
                  <a:schemeClr val="accent5">
                    <a:lumMod val="50000"/>
                  </a:schemeClr>
                </a:solidFill>
                <a:round/>
              </a:ln>
              <a:effectLst/>
            </c:spPr>
          </c:marker>
          <c:cat>
            <c:numRef>
              <c:f>frete_rodo!$H$1:$S$1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[0]!frete_rodo</c:f>
              <c:numCache>
                <c:formatCode>_("R$"* #,##0.00_);_("R$"* \(#,##0.00\);_("R$"* "-"??_);_(@_)</c:formatCode>
                <c:ptCount val="12"/>
                <c:pt idx="0">
                  <c:v>172.24</c:v>
                </c:pt>
                <c:pt idx="1">
                  <c:v>169.7467</c:v>
                </c:pt>
                <c:pt idx="2">
                  <c:v>189.2</c:v>
                </c:pt>
                <c:pt idx="3">
                  <c:v>199.60000000000002</c:v>
                </c:pt>
                <c:pt idx="4">
                  <c:v>186.5</c:v>
                </c:pt>
                <c:pt idx="5">
                  <c:v>173.77499999999998</c:v>
                </c:pt>
                <c:pt idx="6">
                  <c:v>161.47</c:v>
                </c:pt>
                <c:pt idx="7">
                  <c:v>153.63909999999998</c:v>
                </c:pt>
                <c:pt idx="8">
                  <c:v>131.2593</c:v>
                </c:pt>
                <c:pt idx="9">
                  <c:v>117</c:v>
                </c:pt>
                <c:pt idx="10">
                  <c:v>107.6</c:v>
                </c:pt>
                <c:pt idx="11">
                  <c:v>108.5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-406648192"/>
        <c:axId val="-406656352"/>
      </c:lineChart>
      <c:dateAx>
        <c:axId val="-40664819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56352"/>
        <c:crosses val="autoZero"/>
        <c:auto val="1"/>
        <c:lblOffset val="100"/>
        <c:baseTimeUnit val="months"/>
      </c:dateAx>
      <c:valAx>
        <c:axId val="-406656352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non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cap="none" baseline="0"/>
                  <a:t>Frete (R$/t)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none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4819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Receita Líquida (com a Utilização da Armazenagem)</c:v>
          </c:tx>
          <c:spPr>
            <a:solidFill>
              <a:schemeClr val="accent5">
                <a:lumMod val="5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base_!$AF$3:$AF$14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base_!$AO$3:$AO$14</c:f>
              <c:numCache>
                <c:formatCode>_("R$"* #,##0.00_);_("R$"* \(#,##0.00\);_("R$"* "-"??_);_(@_)</c:formatCode>
                <c:ptCount val="12"/>
                <c:pt idx="0">
                  <c:v>0</c:v>
                </c:pt>
                <c:pt idx="1">
                  <c:v>1081.1076447368421</c:v>
                </c:pt>
                <c:pt idx="2">
                  <c:v>979.05857121212114</c:v>
                </c:pt>
                <c:pt idx="3">
                  <c:v>1023.0714499999999</c:v>
                </c:pt>
                <c:pt idx="4">
                  <c:v>1171.2204182539679</c:v>
                </c:pt>
                <c:pt idx="5">
                  <c:v>1325.3311469696973</c:v>
                </c:pt>
                <c:pt idx="6">
                  <c:v>1204.2412119047617</c:v>
                </c:pt>
                <c:pt idx="7">
                  <c:v>1111.2069152173913</c:v>
                </c:pt>
                <c:pt idx="8">
                  <c:v>1092.3871499999998</c:v>
                </c:pt>
                <c:pt idx="9">
                  <c:v>1055.3747833333332</c:v>
                </c:pt>
                <c:pt idx="10">
                  <c:v>1086.26145</c:v>
                </c:pt>
                <c:pt idx="11">
                  <c:v>1083.3072436507937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-406648736"/>
        <c:axId val="-406655808"/>
      </c:barChart>
      <c:lineChart>
        <c:grouping val="standard"/>
        <c:varyColors val="0"/>
        <c:ser>
          <c:idx val="1"/>
          <c:order val="1"/>
          <c:tx>
            <c:v>Custo de Oportunidade (Receita com a Venda na Colheita)</c:v>
          </c:tx>
          <c:spPr>
            <a:ln w="381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base_!$AP$3:$AP$14</c:f>
              <c:numCache>
                <c:formatCode>_("R$"* #,##0.00_);_("R$"* \(#,##0.00\);_("R$"* "-"??_);_(@_)</c:formatCode>
                <c:ptCount val="12"/>
                <c:pt idx="0">
                  <c:v>1081.1076447368421</c:v>
                </c:pt>
                <c:pt idx="1">
                  <c:v>1081.1076447368421</c:v>
                </c:pt>
                <c:pt idx="2">
                  <c:v>1081.1076447368421</c:v>
                </c:pt>
                <c:pt idx="3">
                  <c:v>1081.1076447368421</c:v>
                </c:pt>
                <c:pt idx="4">
                  <c:v>1081.1076447368421</c:v>
                </c:pt>
                <c:pt idx="5">
                  <c:v>1081.1076447368421</c:v>
                </c:pt>
                <c:pt idx="6">
                  <c:v>1081.1076447368421</c:v>
                </c:pt>
                <c:pt idx="7">
                  <c:v>1081.1076447368421</c:v>
                </c:pt>
                <c:pt idx="8">
                  <c:v>1081.1076447368421</c:v>
                </c:pt>
                <c:pt idx="9">
                  <c:v>1081.1076447368421</c:v>
                </c:pt>
                <c:pt idx="10">
                  <c:v>1081.1076447368421</c:v>
                </c:pt>
                <c:pt idx="11">
                  <c:v>1081.1076447368421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6648736"/>
        <c:axId val="-406655808"/>
      </c:lineChart>
      <c:catAx>
        <c:axId val="-4066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55808"/>
        <c:crosses val="autoZero"/>
        <c:auto val="1"/>
        <c:lblAlgn val="ctr"/>
        <c:lblOffset val="100"/>
        <c:noMultiLvlLbl val="0"/>
      </c:catAx>
      <c:valAx>
        <c:axId val="-4066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non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cap="none" baseline="0"/>
                  <a:t>Receita Líquida (R$/t)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none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4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exportação!$D$41</c:f>
              <c:strCache>
                <c:ptCount val="1"/>
                <c:pt idx="0">
                  <c:v>Santos (SP)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exportação!$E$41:$P$41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79469</c:v>
                </c:pt>
                <c:pt idx="2">
                  <c:v>622760</c:v>
                </c:pt>
                <c:pt idx="3">
                  <c:v>406248</c:v>
                </c:pt>
                <c:pt idx="4">
                  <c:v>385083</c:v>
                </c:pt>
                <c:pt idx="5">
                  <c:v>220507</c:v>
                </c:pt>
                <c:pt idx="6">
                  <c:v>214471</c:v>
                </c:pt>
                <c:pt idx="7">
                  <c:v>102878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exportação!$D$42</c:f>
              <c:strCache>
                <c:ptCount val="1"/>
                <c:pt idx="0">
                  <c:v>Paranaguá (PR)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exportação!$E$42:$P$42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4377</c:v>
                </c:pt>
                <c:pt idx="2">
                  <c:v>74647</c:v>
                </c:pt>
                <c:pt idx="3">
                  <c:v>41646</c:v>
                </c:pt>
                <c:pt idx="4">
                  <c:v>14484</c:v>
                </c:pt>
                <c:pt idx="5">
                  <c:v>12551</c:v>
                </c:pt>
                <c:pt idx="6">
                  <c:v>13745</c:v>
                </c:pt>
                <c:pt idx="7">
                  <c:v>18025</c:v>
                </c:pt>
                <c:pt idx="8">
                  <c:v>7798</c:v>
                </c:pt>
                <c:pt idx="9">
                  <c:v>811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exportação!$D$43</c:f>
              <c:strCache>
                <c:ptCount val="1"/>
                <c:pt idx="0">
                  <c:v>São Francisco do Sul (SC)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exportação!$E$43:$P$43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1014</c:v>
                </c:pt>
                <c:pt idx="2">
                  <c:v>10741</c:v>
                </c:pt>
                <c:pt idx="3">
                  <c:v>10582</c:v>
                </c:pt>
                <c:pt idx="4">
                  <c:v>15704</c:v>
                </c:pt>
                <c:pt idx="5">
                  <c:v>23664</c:v>
                </c:pt>
                <c:pt idx="6">
                  <c:v>12120</c:v>
                </c:pt>
                <c:pt idx="7">
                  <c:v>11695</c:v>
                </c:pt>
                <c:pt idx="8">
                  <c:v>1772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exportação!$D$44</c:f>
              <c:strCache>
                <c:ptCount val="1"/>
                <c:pt idx="0">
                  <c:v>Vitória (ES)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exportação!$E$44:$P$44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161293</c:v>
                </c:pt>
                <c:pt idx="3">
                  <c:v>290446</c:v>
                </c:pt>
                <c:pt idx="4">
                  <c:v>169065</c:v>
                </c:pt>
                <c:pt idx="5">
                  <c:v>182615</c:v>
                </c:pt>
                <c:pt idx="6">
                  <c:v>86147</c:v>
                </c:pt>
                <c:pt idx="7">
                  <c:v>126741</c:v>
                </c:pt>
                <c:pt idx="8">
                  <c:v>37140</c:v>
                </c:pt>
                <c:pt idx="9">
                  <c:v>18479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exportação!$D$45</c:f>
              <c:strCache>
                <c:ptCount val="1"/>
                <c:pt idx="0">
                  <c:v>Barcarena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exportação!$E$45:$P$45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exportação!$D$46</c:f>
              <c:strCache>
                <c:ptCount val="1"/>
                <c:pt idx="0">
                  <c:v>Santarém (PA)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exportação!$E$46:$P$46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exportação!$D$47</c:f>
              <c:strCache>
                <c:ptCount val="1"/>
                <c:pt idx="0">
                  <c:v>São Luís (MA)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exportação!$E$47:$P$47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2800</c:v>
                </c:pt>
                <c:pt idx="5">
                  <c:v>3147</c:v>
                </c:pt>
                <c:pt idx="6">
                  <c:v>2644</c:v>
                </c:pt>
                <c:pt idx="7">
                  <c:v>14373</c:v>
                </c:pt>
                <c:pt idx="8">
                  <c:v>1555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exportação!$D$48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exportação!$E$40:$P$40</c:f>
              <c:numCache>
                <c:formatCode>mmm\-yy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exportação!$E$48:$P$48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7875</c:v>
                </c:pt>
                <c:pt idx="3">
                  <c:v>34667</c:v>
                </c:pt>
                <c:pt idx="4">
                  <c:v>34869</c:v>
                </c:pt>
                <c:pt idx="5">
                  <c:v>39433</c:v>
                </c:pt>
                <c:pt idx="6">
                  <c:v>11383</c:v>
                </c:pt>
                <c:pt idx="7">
                  <c:v>0</c:v>
                </c:pt>
                <c:pt idx="8">
                  <c:v>27373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06662336"/>
        <c:axId val="-406649280"/>
      </c:barChart>
      <c:dateAx>
        <c:axId val="-406662336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49280"/>
        <c:crosses val="autoZero"/>
        <c:auto val="1"/>
        <c:lblOffset val="100"/>
        <c:baseTimeUnit val="months"/>
      </c:dateAx>
      <c:valAx>
        <c:axId val="-40664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Exportação de Soja</a:t>
                </a:r>
                <a:r>
                  <a:rPr lang="pt-BR" baseline="0"/>
                  <a:t> (mil t)</a:t>
                </a:r>
                <a:endParaRPr lang="pt-BR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62336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cap_prod!$E$16</c:f>
              <c:strCache>
                <c:ptCount val="1"/>
                <c:pt idx="0">
                  <c:v>Diferença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cap_prod!$E$17</c:f>
              <c:numCache>
                <c:formatCode>_(* #,##0.00_);_(* \(#,##0.00\);_(* "-"??_);_(@_)</c:formatCode>
                <c:ptCount val="1"/>
                <c:pt idx="0">
                  <c:v>-5492370</c:v>
                </c:pt>
              </c:numCache>
            </c:numRef>
          </c:val>
        </c:ser>
        <c:ser>
          <c:idx val="1"/>
          <c:order val="1"/>
          <c:tx>
            <c:strRef>
              <c:f>cap_prod!$F$16</c:f>
              <c:strCache>
                <c:ptCount val="1"/>
                <c:pt idx="0">
                  <c:v>Capacidade de Armazenagem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cap_prod!$F$17</c:f>
              <c:numCache>
                <c:formatCode>_(* #,##0.00_);_(* \(#,##0.00\);_(* "-"??_);_(@_)</c:formatCode>
                <c:ptCount val="1"/>
                <c:pt idx="0">
                  <c:v>12626343</c:v>
                </c:pt>
              </c:numCache>
            </c:numRef>
          </c:val>
        </c:ser>
        <c:ser>
          <c:idx val="2"/>
          <c:order val="2"/>
          <c:tx>
            <c:strRef>
              <c:f>cap_prod!$G$16</c:f>
              <c:strCache>
                <c:ptCount val="1"/>
                <c:pt idx="0">
                  <c:v>Produção (Soja e Milho)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cap_prod!$G$17</c:f>
              <c:numCache>
                <c:formatCode>_(* #,##0.00_);_(* \(#,##0.00\);_(* "-"??_);_(@_)</c:formatCode>
                <c:ptCount val="1"/>
                <c:pt idx="0">
                  <c:v>18118713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-10"/>
        <c:axId val="-406660160"/>
        <c:axId val="-406657984"/>
      </c:barChart>
      <c:catAx>
        <c:axId val="-4066601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06657984"/>
        <c:crosses val="autoZero"/>
        <c:auto val="1"/>
        <c:lblAlgn val="ctr"/>
        <c:lblOffset val="100"/>
        <c:noMultiLvlLbl val="0"/>
      </c:catAx>
      <c:valAx>
        <c:axId val="-40665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Produção/Capacidade de Aramzenagem/Diferença</a:t>
                </a:r>
                <a:r>
                  <a:rPr lang="pt-BR" baseline="0"/>
                  <a:t> </a:t>
                </a:r>
                <a:r>
                  <a:rPr lang="pt-BR"/>
                  <a:t>(mil t)</a:t>
                </a:r>
              </a:p>
            </c:rich>
          </c:tx>
          <c:layout>
            <c:manualLayout>
              <c:xMode val="edge"/>
              <c:yMode val="edge"/>
              <c:x val="0.22072644927536231"/>
              <c:y val="0.817470760233918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60160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cap_prod!$E$16</c:f>
              <c:strCache>
                <c:ptCount val="1"/>
                <c:pt idx="0">
                  <c:v>Diferença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cap_prod!$E$18</c:f>
              <c:numCache>
                <c:formatCode>_(* #,##0.00_);_(* \(#,##0.00\);_(* "-"??_);_(@_)</c:formatCode>
                <c:ptCount val="1"/>
                <c:pt idx="0">
                  <c:v>-1392972</c:v>
                </c:pt>
              </c:numCache>
            </c:numRef>
          </c:val>
        </c:ser>
        <c:ser>
          <c:idx val="1"/>
          <c:order val="1"/>
          <c:tx>
            <c:strRef>
              <c:f>cap_prod!$F$16</c:f>
              <c:strCache>
                <c:ptCount val="1"/>
                <c:pt idx="0">
                  <c:v>Capacidade de Armazenagem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cap_prod!$F$18</c:f>
              <c:numCache>
                <c:formatCode>_(* #,##0.00_);_(* \(#,##0.00\);_(* "-"??_);_(@_)</c:formatCode>
                <c:ptCount val="1"/>
                <c:pt idx="0">
                  <c:v>1206255</c:v>
                </c:pt>
              </c:numCache>
            </c:numRef>
          </c:val>
        </c:ser>
        <c:ser>
          <c:idx val="2"/>
          <c:order val="2"/>
          <c:tx>
            <c:strRef>
              <c:f>cap_prod!$G$16</c:f>
              <c:strCache>
                <c:ptCount val="1"/>
                <c:pt idx="0">
                  <c:v>Produção (Soja e Milho)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cap_prod!$G$18</c:f>
              <c:numCache>
                <c:formatCode>_(* #,##0.00_);_(* \(#,##0.00\);_(* "-"??_);_(@_)</c:formatCode>
                <c:ptCount val="1"/>
                <c:pt idx="0">
                  <c:v>2599227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4"/>
        <c:overlap val="-10"/>
        <c:axId val="-406650368"/>
        <c:axId val="-413345600"/>
      </c:barChart>
      <c:catAx>
        <c:axId val="-406650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13345600"/>
        <c:crosses val="autoZero"/>
        <c:auto val="1"/>
        <c:lblAlgn val="ctr"/>
        <c:lblOffset val="100"/>
        <c:noMultiLvlLbl val="0"/>
      </c:catAx>
      <c:valAx>
        <c:axId val="-41334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Produção/Capacidade de Aramzenagem/Diferença</a:t>
                </a:r>
                <a:r>
                  <a:rPr lang="pt-BR" baseline="0"/>
                  <a:t> </a:t>
                </a:r>
                <a:r>
                  <a:rPr lang="pt-BR"/>
                  <a:t>(mil 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0665036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esalqlog.esalq.usp.b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esalqlog.esalq.usp.br/sistema-de-informacoes-de-armazenagem-siarma-2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://esalqlog.esalq.usp.br/sifreca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13" Type="http://schemas.openxmlformats.org/officeDocument/2006/relationships/image" Target="../media/image3.png"/><Relationship Id="rId18" Type="http://schemas.openxmlformats.org/officeDocument/2006/relationships/hyperlink" Target="#SIMULADOR!A58"/><Relationship Id="rId3" Type="http://schemas.openxmlformats.org/officeDocument/2006/relationships/hyperlink" Target="http://esalqlog.esalq.usp.br/" TargetMode="External"/><Relationship Id="rId7" Type="http://schemas.openxmlformats.org/officeDocument/2006/relationships/chart" Target="../charts/chart3.xml"/><Relationship Id="rId12" Type="http://schemas.openxmlformats.org/officeDocument/2006/relationships/hyperlink" Target="http://esalqlog.esalq.usp.br/sifreca/" TargetMode="External"/><Relationship Id="rId17" Type="http://schemas.openxmlformats.org/officeDocument/2006/relationships/hyperlink" Target="#SIMULADOR!A13"/><Relationship Id="rId2" Type="http://schemas.openxmlformats.org/officeDocument/2006/relationships/image" Target="../media/image1.png"/><Relationship Id="rId16" Type="http://schemas.openxmlformats.org/officeDocument/2006/relationships/chart" Target="../charts/chart10.xml"/><Relationship Id="rId20" Type="http://schemas.openxmlformats.org/officeDocument/2006/relationships/hyperlink" Target="#SIMULADOR!A129"/><Relationship Id="rId1" Type="http://schemas.openxmlformats.org/officeDocument/2006/relationships/hyperlink" Target="http://esalqlog.esalq.usp.br/sistema-de-informacoes-de-armazenagem-siarma-2" TargetMode="External"/><Relationship Id="rId6" Type="http://schemas.openxmlformats.org/officeDocument/2006/relationships/chart" Target="../charts/chart2.xml"/><Relationship Id="rId11" Type="http://schemas.openxmlformats.org/officeDocument/2006/relationships/chart" Target="../charts/chart7.xml"/><Relationship Id="rId5" Type="http://schemas.openxmlformats.org/officeDocument/2006/relationships/chart" Target="../charts/chart1.xml"/><Relationship Id="rId15" Type="http://schemas.openxmlformats.org/officeDocument/2006/relationships/chart" Target="../charts/chart9.xml"/><Relationship Id="rId10" Type="http://schemas.openxmlformats.org/officeDocument/2006/relationships/chart" Target="../charts/chart6.xml"/><Relationship Id="rId19" Type="http://schemas.openxmlformats.org/officeDocument/2006/relationships/hyperlink" Target="#SIMULADOR!A82"/><Relationship Id="rId4" Type="http://schemas.openxmlformats.org/officeDocument/2006/relationships/image" Target="../media/image2.png"/><Relationship Id="rId9" Type="http://schemas.openxmlformats.org/officeDocument/2006/relationships/chart" Target="../charts/chart5.xml"/><Relationship Id="rId1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100971</xdr:colOff>
      <xdr:row>0</xdr:row>
      <xdr:rowOff>90374</xdr:rowOff>
    </xdr:from>
    <xdr:to>
      <xdr:col>1</xdr:col>
      <xdr:colOff>979954</xdr:colOff>
      <xdr:row>3</xdr:row>
      <xdr:rowOff>137079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71" y="90374"/>
          <a:ext cx="1235330" cy="61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16032</xdr:colOff>
      <xdr:row>1</xdr:row>
      <xdr:rowOff>18896</xdr:rowOff>
    </xdr:from>
    <xdr:to>
      <xdr:col>13</xdr:col>
      <xdr:colOff>505439</xdr:colOff>
      <xdr:row>3</xdr:row>
      <xdr:rowOff>4803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4282" y="209396"/>
          <a:ext cx="1101728" cy="36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15</xdr:col>
      <xdr:colOff>22412</xdr:colOff>
      <xdr:row>18</xdr:row>
      <xdr:rowOff>123264</xdr:rowOff>
    </xdr:to>
    <xdr:sp macro="" textlink="">
      <xdr:nvSpPr>
        <xdr:cNvPr id="8" name="CaixaDeTexto 7"/>
        <xdr:cNvSpPr txBox="1"/>
      </xdr:nvSpPr>
      <xdr:spPr>
        <a:xfrm>
          <a:off x="347382" y="3440206"/>
          <a:ext cx="13872883" cy="3182470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600">
              <a:solidFill>
                <a:schemeClr val="accent5">
                  <a:lumMod val="50000"/>
                </a:schemeClr>
              </a:solidFill>
              <a:latin typeface="+mn-lt"/>
            </a:rPr>
            <a:t>O </a:t>
          </a:r>
          <a:r>
            <a:rPr lang="pt-BR" sz="1600" b="1">
              <a:solidFill>
                <a:schemeClr val="accent5">
                  <a:lumMod val="50000"/>
                </a:schemeClr>
              </a:solidFill>
              <a:latin typeface="+mn-lt"/>
            </a:rPr>
            <a:t>SIARMA </a:t>
          </a:r>
          <a:r>
            <a:rPr lang="pt-BR" sz="1600" b="0">
              <a:solidFill>
                <a:schemeClr val="accent5">
                  <a:lumMod val="50000"/>
                </a:schemeClr>
              </a:solidFill>
              <a:latin typeface="+mn-lt"/>
            </a:rPr>
            <a:t>- Sistema de Informações de Armazenagem </a:t>
          </a:r>
          <a:r>
            <a:rPr lang="pt-BR" sz="1600">
              <a:solidFill>
                <a:schemeClr val="accent5">
                  <a:lumMod val="50000"/>
                </a:schemeClr>
              </a:solidFill>
              <a:latin typeface="+mn-lt"/>
            </a:rPr>
            <a:t>- é um projeto do ESALQ-LOG que envolve pesquisas sobre as principais características do armazenamento de cargas, com destaque para produtos agrícolas. A partir do levantamento sistêmico de dados primários, análise de custos de armazenagem e informações quantitativas e qualitativas sobre o mercado agrícola, o SIARMA gera informações que, de maneira integrada com o SIFRECA, tem se mostrado essenciais para o dimensionamento de projetos logísticos voltados aos complexos agroindustriais. </a:t>
          </a:r>
        </a:p>
        <a:p>
          <a:pPr algn="l"/>
          <a:endParaRPr lang="pt-BR" sz="1600">
            <a:solidFill>
              <a:schemeClr val="accent5">
                <a:lumMod val="50000"/>
              </a:schemeClr>
            </a:solidFill>
            <a:latin typeface="+mn-lt"/>
          </a:endParaRPr>
        </a:p>
        <a:p>
          <a:pPr algn="l"/>
          <a:r>
            <a:rPr lang="pt-BR" sz="1600">
              <a:solidFill>
                <a:schemeClr val="accent5">
                  <a:lumMod val="50000"/>
                </a:schemeClr>
              </a:solidFill>
              <a:latin typeface="+mn-lt"/>
            </a:rPr>
            <a:t>Dentre os  produtos desenvolvidos pelo SIARMA, destacam-se: </a:t>
          </a:r>
        </a:p>
        <a:p>
          <a:pPr algn="l"/>
          <a:r>
            <a:rPr lang="pt-BR" sz="1600">
              <a:solidFill>
                <a:schemeClr val="accent5">
                  <a:lumMod val="50000"/>
                </a:schemeClr>
              </a:solidFill>
              <a:latin typeface="+mn-lt"/>
            </a:rPr>
            <a:t>  (i) Levantamento das tarifas de armazenagem;</a:t>
          </a:r>
        </a:p>
        <a:p>
          <a:pPr algn="l"/>
          <a:r>
            <a:rPr lang="pt-BR" sz="1600">
              <a:solidFill>
                <a:schemeClr val="accent5">
                  <a:lumMod val="50000"/>
                </a:schemeClr>
              </a:solidFill>
              <a:latin typeface="+mn-lt"/>
            </a:rPr>
            <a:t>  (ii) Desenvolvimento</a:t>
          </a:r>
          <a:r>
            <a:rPr lang="pt-BR" sz="1600" baseline="0">
              <a:solidFill>
                <a:schemeClr val="accent5">
                  <a:lumMod val="50000"/>
                </a:schemeClr>
              </a:solidFill>
              <a:latin typeface="+mn-lt"/>
            </a:rPr>
            <a:t> de modelos de localização para novos armazéns e terminais de transbordo;</a:t>
          </a:r>
          <a:r>
            <a:rPr lang="pt-BR" sz="1600">
              <a:solidFill>
                <a:schemeClr val="accent5">
                  <a:lumMod val="50000"/>
                </a:schemeClr>
              </a:solidFill>
              <a:latin typeface="+mn-lt"/>
            </a:rPr>
            <a:t> </a:t>
          </a:r>
        </a:p>
        <a:p>
          <a:pPr algn="l"/>
          <a:r>
            <a:rPr lang="pt-BR" sz="1600" baseline="0">
              <a:solidFill>
                <a:schemeClr val="accent5">
                  <a:lumMod val="50000"/>
                </a:schemeClr>
              </a:solidFill>
              <a:latin typeface="+mn-lt"/>
            </a:rPr>
            <a:t>  (iii) Análise sobre a viabilidade de investimentos;</a:t>
          </a:r>
        </a:p>
        <a:p>
          <a:pPr algn="l"/>
          <a:r>
            <a:rPr lang="pt-BR" sz="1600" baseline="0">
              <a:solidFill>
                <a:schemeClr val="accent5">
                  <a:lumMod val="50000"/>
                </a:schemeClr>
              </a:solidFill>
              <a:latin typeface="+mn-lt"/>
            </a:rPr>
            <a:t>  (iv) Custos operacionais da armazenagem de grãos;</a:t>
          </a:r>
        </a:p>
        <a:p>
          <a:pPr algn="l"/>
          <a:r>
            <a:rPr lang="pt-BR" sz="1600" baseline="0">
              <a:solidFill>
                <a:schemeClr val="accent5">
                  <a:lumMod val="50000"/>
                </a:schemeClr>
              </a:solidFill>
              <a:latin typeface="+mn-lt"/>
            </a:rPr>
            <a:t>  (v) Uso estratégico da armazenagem;</a:t>
          </a:r>
        </a:p>
        <a:p>
          <a:pPr algn="l"/>
          <a:r>
            <a:rPr lang="pt-BR" sz="1600" baseline="0">
              <a:solidFill>
                <a:schemeClr val="accent5">
                  <a:lumMod val="50000"/>
                </a:schemeClr>
              </a:solidFill>
              <a:latin typeface="+mn-lt"/>
            </a:rPr>
            <a:t>  (vi) Análise de políticas públicas voltadas para o desenvolvimento da armazenagem no Brasil.</a:t>
          </a:r>
          <a:endParaRPr lang="pt-BR" sz="1600">
            <a:solidFill>
              <a:schemeClr val="accent5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 editAs="oneCell">
    <xdr:from>
      <xdr:col>14</xdr:col>
      <xdr:colOff>81643</xdr:colOff>
      <xdr:row>0</xdr:row>
      <xdr:rowOff>13607</xdr:rowOff>
    </xdr:from>
    <xdr:to>
      <xdr:col>15</xdr:col>
      <xdr:colOff>88785</xdr:colOff>
      <xdr:row>3</xdr:row>
      <xdr:rowOff>146776</xdr:rowOff>
    </xdr:to>
    <xdr:pic>
      <xdr:nvPicPr>
        <xdr:cNvPr id="9" name="Imagem 8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4536" y="13607"/>
          <a:ext cx="660285" cy="704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100971</xdr:colOff>
      <xdr:row>0</xdr:row>
      <xdr:rowOff>90374</xdr:rowOff>
    </xdr:from>
    <xdr:to>
      <xdr:col>2</xdr:col>
      <xdr:colOff>619685</xdr:colOff>
      <xdr:row>3</xdr:row>
      <xdr:rowOff>137079</xdr:rowOff>
    </xdr:to>
    <xdr:pic>
      <xdr:nvPicPr>
        <xdr:cNvPr id="4" name="Imagem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71" y="90374"/>
          <a:ext cx="1235330" cy="61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15231</xdr:colOff>
      <xdr:row>1</xdr:row>
      <xdr:rowOff>25299</xdr:rowOff>
    </xdr:from>
    <xdr:to>
      <xdr:col>16</xdr:col>
      <xdr:colOff>497435</xdr:colOff>
      <xdr:row>3</xdr:row>
      <xdr:rowOff>11206</xdr:rowOff>
    </xdr:to>
    <xdr:pic>
      <xdr:nvPicPr>
        <xdr:cNvPr id="6" name="Imagem 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7643" y="215799"/>
          <a:ext cx="1087321" cy="36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89647</xdr:colOff>
      <xdr:row>39</xdr:row>
      <xdr:rowOff>67239</xdr:rowOff>
    </xdr:from>
    <xdr:to>
      <xdr:col>5</xdr:col>
      <xdr:colOff>1893793</xdr:colOff>
      <xdr:row>56</xdr:row>
      <xdr:rowOff>112058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190500</xdr:colOff>
      <xdr:row>16</xdr:row>
      <xdr:rowOff>56028</xdr:rowOff>
    </xdr:from>
    <xdr:to>
      <xdr:col>17</xdr:col>
      <xdr:colOff>200559</xdr:colOff>
      <xdr:row>33</xdr:row>
      <xdr:rowOff>57528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2017058</xdr:colOff>
      <xdr:row>130</xdr:row>
      <xdr:rowOff>67235</xdr:rowOff>
    </xdr:from>
    <xdr:to>
      <xdr:col>11</xdr:col>
      <xdr:colOff>145676</xdr:colOff>
      <xdr:row>150</xdr:row>
      <xdr:rowOff>78441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425348</xdr:colOff>
      <xdr:row>109</xdr:row>
      <xdr:rowOff>190499</xdr:rowOff>
    </xdr:from>
    <xdr:to>
      <xdr:col>17</xdr:col>
      <xdr:colOff>336177</xdr:colOff>
      <xdr:row>128</xdr:row>
      <xdr:rowOff>170999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100851</xdr:colOff>
      <xdr:row>16</xdr:row>
      <xdr:rowOff>44822</xdr:rowOff>
    </xdr:from>
    <xdr:to>
      <xdr:col>7</xdr:col>
      <xdr:colOff>346234</xdr:colOff>
      <xdr:row>33</xdr:row>
      <xdr:rowOff>89647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44823</xdr:colOff>
      <xdr:row>109</xdr:row>
      <xdr:rowOff>56030</xdr:rowOff>
    </xdr:from>
    <xdr:to>
      <xdr:col>7</xdr:col>
      <xdr:colOff>246530</xdr:colOff>
      <xdr:row>128</xdr:row>
      <xdr:rowOff>36530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33617</xdr:colOff>
      <xdr:row>39</xdr:row>
      <xdr:rowOff>112057</xdr:rowOff>
    </xdr:from>
    <xdr:to>
      <xdr:col>18</xdr:col>
      <xdr:colOff>145677</xdr:colOff>
      <xdr:row>56</xdr:row>
      <xdr:rowOff>134470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17</xdr:col>
      <xdr:colOff>34480</xdr:colOff>
      <xdr:row>0</xdr:row>
      <xdr:rowOff>33618</xdr:rowOff>
    </xdr:from>
    <xdr:to>
      <xdr:col>19</xdr:col>
      <xdr:colOff>0</xdr:colOff>
      <xdr:row>3</xdr:row>
      <xdr:rowOff>166787</xdr:rowOff>
    </xdr:to>
    <xdr:pic>
      <xdr:nvPicPr>
        <xdr:cNvPr id="20" name="Imagem 19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07127" y="33618"/>
          <a:ext cx="660285" cy="704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89647</xdr:colOff>
      <xdr:row>62</xdr:row>
      <xdr:rowOff>100851</xdr:rowOff>
    </xdr:from>
    <xdr:to>
      <xdr:col>7</xdr:col>
      <xdr:colOff>335030</xdr:colOff>
      <xdr:row>80</xdr:row>
      <xdr:rowOff>91851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112058</xdr:colOff>
      <xdr:row>62</xdr:row>
      <xdr:rowOff>89647</xdr:rowOff>
    </xdr:from>
    <xdr:to>
      <xdr:col>18</xdr:col>
      <xdr:colOff>178147</xdr:colOff>
      <xdr:row>80</xdr:row>
      <xdr:rowOff>80647</xdr:rowOff>
    </xdr:to>
    <xdr:graphicFrame macro="">
      <xdr:nvGraphicFramePr>
        <xdr:cNvPr id="21" name="Gráfico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1972235</xdr:colOff>
      <xdr:row>85</xdr:row>
      <xdr:rowOff>11207</xdr:rowOff>
    </xdr:from>
    <xdr:to>
      <xdr:col>11</xdr:col>
      <xdr:colOff>1456764</xdr:colOff>
      <xdr:row>103</xdr:row>
      <xdr:rowOff>123265</xdr:rowOff>
    </xdr:to>
    <xdr:graphicFrame macro="">
      <xdr:nvGraphicFramePr>
        <xdr:cNvPr id="23" name="Gráfico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</xdr:col>
      <xdr:colOff>67236</xdr:colOff>
      <xdr:row>9</xdr:row>
      <xdr:rowOff>89647</xdr:rowOff>
    </xdr:from>
    <xdr:to>
      <xdr:col>3</xdr:col>
      <xdr:colOff>2615294</xdr:colOff>
      <xdr:row>11</xdr:row>
      <xdr:rowOff>112058</xdr:rowOff>
    </xdr:to>
    <xdr:sp macro="" textlink="">
      <xdr:nvSpPr>
        <xdr:cNvPr id="27" name="Retângulo com Canto Diagonal Aparado 26">
          <a:hlinkClick xmlns:r="http://schemas.openxmlformats.org/officeDocument/2006/relationships" r:id="rId17"/>
        </xdr:cNvPr>
        <xdr:cNvSpPr/>
      </xdr:nvSpPr>
      <xdr:spPr>
        <a:xfrm>
          <a:off x="784412" y="1434353"/>
          <a:ext cx="3960000" cy="403411"/>
        </a:xfrm>
        <a:prstGeom prst="snip2DiagRect">
          <a:avLst/>
        </a:prstGeom>
        <a:solidFill>
          <a:schemeClr val="accent6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800" b="1">
              <a:solidFill>
                <a:schemeClr val="bg1"/>
              </a:solidFill>
            </a:rPr>
            <a:t>TRANSPORTE</a:t>
          </a:r>
        </a:p>
      </xdr:txBody>
    </xdr:sp>
    <xdr:clientData/>
  </xdr:twoCellAnchor>
  <xdr:twoCellAnchor>
    <xdr:from>
      <xdr:col>3</xdr:col>
      <xdr:colOff>2732489</xdr:colOff>
      <xdr:row>9</xdr:row>
      <xdr:rowOff>98613</xdr:rowOff>
    </xdr:from>
    <xdr:to>
      <xdr:col>8</xdr:col>
      <xdr:colOff>215489</xdr:colOff>
      <xdr:row>11</xdr:row>
      <xdr:rowOff>121024</xdr:rowOff>
    </xdr:to>
    <xdr:sp macro="" textlink="">
      <xdr:nvSpPr>
        <xdr:cNvPr id="28" name="Retângulo com Canto Diagonal Aparado 27">
          <a:hlinkClick xmlns:r="http://schemas.openxmlformats.org/officeDocument/2006/relationships" r:id="rId18"/>
        </xdr:cNvPr>
        <xdr:cNvSpPr/>
      </xdr:nvSpPr>
      <xdr:spPr>
        <a:xfrm>
          <a:off x="4861607" y="1443319"/>
          <a:ext cx="3960000" cy="403411"/>
        </a:xfrm>
        <a:prstGeom prst="snip2DiagRect">
          <a:avLst/>
        </a:prstGeom>
        <a:solidFill>
          <a:schemeClr val="accent6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800" b="1">
              <a:solidFill>
                <a:schemeClr val="bg1"/>
              </a:solidFill>
            </a:rPr>
            <a:t>COMERCIALIZAÇÃO</a:t>
          </a:r>
        </a:p>
      </xdr:txBody>
    </xdr:sp>
    <xdr:clientData/>
  </xdr:twoCellAnchor>
  <xdr:twoCellAnchor>
    <xdr:from>
      <xdr:col>8</xdr:col>
      <xdr:colOff>332684</xdr:colOff>
      <xdr:row>9</xdr:row>
      <xdr:rowOff>98613</xdr:rowOff>
    </xdr:from>
    <xdr:to>
      <xdr:col>11</xdr:col>
      <xdr:colOff>1143831</xdr:colOff>
      <xdr:row>11</xdr:row>
      <xdr:rowOff>121024</xdr:rowOff>
    </xdr:to>
    <xdr:sp macro="" textlink="">
      <xdr:nvSpPr>
        <xdr:cNvPr id="29" name="Retângulo com Canto Diagonal Aparado 28">
          <a:hlinkClick xmlns:r="http://schemas.openxmlformats.org/officeDocument/2006/relationships" r:id="rId19"/>
        </xdr:cNvPr>
        <xdr:cNvSpPr/>
      </xdr:nvSpPr>
      <xdr:spPr>
        <a:xfrm>
          <a:off x="8938802" y="1443319"/>
          <a:ext cx="3960000" cy="403411"/>
        </a:xfrm>
        <a:prstGeom prst="snip2DiagRect">
          <a:avLst/>
        </a:prstGeom>
        <a:solidFill>
          <a:schemeClr val="accent6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800" b="1">
              <a:solidFill>
                <a:schemeClr val="bg1"/>
              </a:solidFill>
            </a:rPr>
            <a:t>ARMAZENAGEM</a:t>
          </a:r>
        </a:p>
      </xdr:txBody>
    </xdr:sp>
    <xdr:clientData/>
  </xdr:twoCellAnchor>
  <xdr:twoCellAnchor>
    <xdr:from>
      <xdr:col>11</xdr:col>
      <xdr:colOff>1261026</xdr:colOff>
      <xdr:row>9</xdr:row>
      <xdr:rowOff>98613</xdr:rowOff>
    </xdr:from>
    <xdr:to>
      <xdr:col>16</xdr:col>
      <xdr:colOff>565543</xdr:colOff>
      <xdr:row>11</xdr:row>
      <xdr:rowOff>121024</xdr:rowOff>
    </xdr:to>
    <xdr:sp macro="" textlink="">
      <xdr:nvSpPr>
        <xdr:cNvPr id="30" name="Retângulo com Canto Diagonal Aparado 29">
          <a:hlinkClick xmlns:r="http://schemas.openxmlformats.org/officeDocument/2006/relationships" r:id="rId20"/>
        </xdr:cNvPr>
        <xdr:cNvSpPr/>
      </xdr:nvSpPr>
      <xdr:spPr>
        <a:xfrm>
          <a:off x="13015997" y="1443319"/>
          <a:ext cx="3417075" cy="403411"/>
        </a:xfrm>
        <a:prstGeom prst="snip2DiagRect">
          <a:avLst/>
        </a:prstGeom>
        <a:solidFill>
          <a:schemeClr val="accent6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800" b="1">
              <a:solidFill>
                <a:schemeClr val="bg1"/>
              </a:solidFill>
            </a:rPr>
            <a:t>ESTRATÉGIAS</a:t>
          </a:r>
          <a:r>
            <a:rPr lang="pt-BR" sz="1800" b="1" baseline="0">
              <a:solidFill>
                <a:schemeClr val="bg1"/>
              </a:solidFill>
            </a:rPr>
            <a:t> LOGÍSTICAS</a:t>
          </a:r>
          <a:endParaRPr lang="pt-BR" sz="18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esalqlog.esalq.usp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P43"/>
  <sheetViews>
    <sheetView showGridLines="0" zoomScale="70" zoomScaleNormal="70" workbookViewId="0">
      <pane ySplit="4" topLeftCell="A5" activePane="bottomLeft" state="frozen"/>
      <selection pane="bottomLeft" activeCell="B20" sqref="B20"/>
    </sheetView>
  </sheetViews>
  <sheetFormatPr defaultColWidth="0" defaultRowHeight="15" zeroHeight="1" x14ac:dyDescent="0.25"/>
  <cols>
    <col min="1" max="1" width="5.140625" style="6" customWidth="1"/>
    <col min="2" max="2" width="39.5703125" style="6" bestFit="1" customWidth="1"/>
    <col min="3" max="8" width="9.140625" style="6" customWidth="1"/>
    <col min="9" max="9" width="34.42578125" style="6" customWidth="1"/>
    <col min="10" max="10" width="9.140625" style="6" customWidth="1"/>
    <col min="11" max="11" width="26.140625" style="6" customWidth="1"/>
    <col min="12" max="12" width="20.42578125" style="6" customWidth="1"/>
    <col min="13" max="14" width="9.140625" style="6" customWidth="1"/>
    <col min="15" max="15" width="9.85546875" style="6" customWidth="1"/>
    <col min="16" max="16" width="5.140625" style="6" customWidth="1"/>
    <col min="17" max="16384" width="9.140625" style="6" hidden="1"/>
  </cols>
  <sheetData>
    <row r="1" spans="1:16" x14ac:dyDescent="0.25">
      <c r="A1" s="44" t="s">
        <v>134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</row>
    <row r="2" spans="1:16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</row>
    <row r="3" spans="1:16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</row>
    <row r="4" spans="1:16" ht="15.75" thickBot="1" x14ac:dyDescent="0.3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/>
    </row>
    <row r="5" spans="1:16" ht="6" customHeight="1" x14ac:dyDescent="0.25"/>
    <row r="6" spans="1:16" s="8" customFormat="1" ht="18.75" x14ac:dyDescent="0.3"/>
    <row r="7" spans="1:16" s="8" customFormat="1" ht="18.75" x14ac:dyDescent="0.3"/>
    <row r="8" spans="1:16" s="8" customFormat="1" ht="18.75" x14ac:dyDescent="0.3"/>
    <row r="9" spans="1:16" s="8" customFormat="1" ht="18.75" x14ac:dyDescent="0.3"/>
    <row r="10" spans="1:16" s="8" customFormat="1" ht="18.75" x14ac:dyDescent="0.3"/>
    <row r="11" spans="1:16" s="8" customFormat="1" ht="18.75" x14ac:dyDescent="0.3"/>
    <row r="12" spans="1:16" s="8" customFormat="1" ht="18.75" x14ac:dyDescent="0.3"/>
    <row r="13" spans="1:16" s="8" customFormat="1" ht="18.75" x14ac:dyDescent="0.3"/>
    <row r="14" spans="1:16" s="8" customFormat="1" ht="18.75" x14ac:dyDescent="0.3"/>
    <row r="15" spans="1:16" s="8" customFormat="1" ht="18.75" x14ac:dyDescent="0.3"/>
    <row r="16" spans="1:16" s="8" customFormat="1" ht="18.75" x14ac:dyDescent="0.3"/>
    <row r="17" spans="1:15" s="8" customFormat="1" ht="18.75" x14ac:dyDescent="0.3"/>
    <row r="18" spans="1:15" s="8" customFormat="1" ht="18.75" x14ac:dyDescent="0.3"/>
    <row r="19" spans="1:15" s="8" customFormat="1" ht="18.75" x14ac:dyDescent="0.3"/>
    <row r="20" spans="1:15" s="8" customFormat="1" ht="21" x14ac:dyDescent="0.35">
      <c r="B20" s="30" t="s">
        <v>24</v>
      </c>
      <c r="C20" s="31" t="s">
        <v>21</v>
      </c>
      <c r="D20" s="31"/>
      <c r="E20" s="31"/>
      <c r="F20" s="31"/>
      <c r="G20" s="32"/>
      <c r="H20" s="32"/>
      <c r="I20" s="32"/>
      <c r="J20" s="32"/>
      <c r="K20" s="32"/>
      <c r="L20" s="32"/>
      <c r="M20" s="32"/>
      <c r="N20" s="32"/>
      <c r="O20" s="33"/>
    </row>
    <row r="21" spans="1:15" s="8" customFormat="1" ht="9.75" customHeight="1" x14ac:dyDescent="0.35">
      <c r="B21" s="34"/>
      <c r="C21" s="35"/>
      <c r="D21" s="35"/>
      <c r="E21" s="35"/>
      <c r="F21" s="35"/>
      <c r="G21" s="36"/>
      <c r="H21" s="36"/>
      <c r="I21" s="36"/>
      <c r="J21" s="36"/>
      <c r="K21" s="36"/>
      <c r="L21" s="36"/>
      <c r="M21" s="36"/>
      <c r="N21" s="36"/>
      <c r="O21" s="37"/>
    </row>
    <row r="22" spans="1:15" s="8" customFormat="1" ht="21" x14ac:dyDescent="0.35">
      <c r="B22" s="38" t="s">
        <v>22</v>
      </c>
      <c r="C22" s="35" t="s">
        <v>26</v>
      </c>
      <c r="D22" s="35"/>
      <c r="E22" s="35"/>
      <c r="F22" s="35"/>
      <c r="G22" s="36"/>
      <c r="H22" s="36"/>
      <c r="I22" s="36"/>
      <c r="J22" s="36"/>
      <c r="K22" s="36"/>
      <c r="L22" s="36"/>
      <c r="M22" s="36"/>
      <c r="N22" s="36"/>
      <c r="O22" s="37"/>
    </row>
    <row r="23" spans="1:15" s="8" customFormat="1" ht="21" x14ac:dyDescent="0.35">
      <c r="B23" s="39"/>
      <c r="C23" s="35" t="s">
        <v>23</v>
      </c>
      <c r="D23" s="35"/>
      <c r="E23" s="35"/>
      <c r="F23" s="35"/>
      <c r="G23" s="36"/>
      <c r="H23" s="36"/>
      <c r="I23" s="36"/>
      <c r="J23" s="36"/>
      <c r="K23" s="36"/>
      <c r="L23" s="36"/>
      <c r="M23" s="36"/>
      <c r="N23" s="36"/>
      <c r="O23" s="37"/>
    </row>
    <row r="24" spans="1:15" s="8" customFormat="1" ht="21" x14ac:dyDescent="0.35">
      <c r="B24" s="40"/>
      <c r="C24" s="41" t="s">
        <v>27</v>
      </c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  <c r="O24" s="43"/>
    </row>
    <row r="25" spans="1:15" s="7" customFormat="1" ht="9" customHeight="1" x14ac:dyDescent="0.3">
      <c r="A25" s="8"/>
      <c r="B25" s="8"/>
      <c r="C25" s="8"/>
      <c r="D25" s="8"/>
      <c r="E25" s="8"/>
      <c r="F25" s="8"/>
      <c r="G25" s="8"/>
      <c r="H25" s="8"/>
    </row>
    <row r="26" spans="1:15" s="7" customFormat="1" ht="29.25" customHeight="1" x14ac:dyDescent="0.3">
      <c r="A26" s="8"/>
      <c r="B26" s="53" t="s">
        <v>25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x14ac:dyDescent="0.25"/>
    <row r="28" spans="1:15" hidden="1" x14ac:dyDescent="0.25"/>
    <row r="29" spans="1:15" hidden="1" x14ac:dyDescent="0.25"/>
    <row r="30" spans="1:15" hidden="1" x14ac:dyDescent="0.25"/>
    <row r="31" spans="1:15" hidden="1" x14ac:dyDescent="0.25"/>
    <row r="32" spans="1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sheetProtection algorithmName="SHA-512" hashValue="wg2IU2JoorUNO6XgCA3XNInUe3t6/BWAB8u9ReUc5Kz1++iDaKhsTYCMlD5pz5bBBcLnbOL4An/0cwNaLVSJMA==" saltValue="na66IRdGornsVS6LONEuNg==" spinCount="100000" sheet="1" objects="1" scenarios="1" selectLockedCells="1" selectUnlockedCells="1"/>
  <mergeCells count="2">
    <mergeCell ref="A1:P4"/>
    <mergeCell ref="B26:O26"/>
  </mergeCells>
  <hyperlinks>
    <hyperlink ref="B26:O26" r:id="rId1" display="Para mais informações, acesse: esalqlog.esalq.usp.br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151"/>
  <sheetViews>
    <sheetView showGridLines="0" showRowColHeaders="0" tabSelected="1" zoomScale="85" zoomScaleNormal="85" workbookViewId="0">
      <pane ySplit="12" topLeftCell="A13" activePane="bottomLeft" state="frozen"/>
      <selection pane="bottomLeft" activeCell="A13" sqref="A13"/>
    </sheetView>
  </sheetViews>
  <sheetFormatPr defaultColWidth="0" defaultRowHeight="15" zeroHeight="1" x14ac:dyDescent="0.25"/>
  <cols>
    <col min="1" max="1" width="1.7109375" customWidth="1"/>
    <col min="2" max="2" width="9.140625" customWidth="1"/>
    <col min="3" max="3" width="21.140625" customWidth="1"/>
    <col min="4" max="4" width="45.140625" bestFit="1" customWidth="1"/>
    <col min="5" max="5" width="6" customWidth="1"/>
    <col min="6" max="6" width="32.5703125" bestFit="1" customWidth="1"/>
    <col min="7" max="7" width="6.42578125" customWidth="1"/>
    <col min="8" max="8" width="6.85546875" customWidth="1"/>
    <col min="9" max="9" width="21.85546875" bestFit="1" customWidth="1"/>
    <col min="10" max="10" width="20.5703125" customWidth="1"/>
    <col min="11" max="11" width="4.85546875" customWidth="1"/>
    <col min="12" max="12" width="23.85546875" bestFit="1" customWidth="1"/>
    <col min="13" max="13" width="20.5703125" customWidth="1"/>
    <col min="14" max="14" width="3.85546875" customWidth="1"/>
    <col min="15" max="15" width="4.42578125" customWidth="1"/>
    <col min="16" max="17" width="9.140625" customWidth="1"/>
    <col min="18" max="19" width="5.28515625" customWidth="1"/>
    <col min="20" max="16384" width="9.140625" hidden="1"/>
  </cols>
  <sheetData>
    <row r="1" spans="1:19" ht="15" customHeight="1" x14ac:dyDescent="0.25">
      <c r="A1" s="56" t="s">
        <v>134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5" customHeight="1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1:19" ht="15" customHeight="1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.75" customHeight="1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4.5" customHeight="1" x14ac:dyDescent="0.25"/>
    <row r="6" spans="1:19" x14ac:dyDescent="0.25">
      <c r="A6" s="58" t="s">
        <v>31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19" ht="4.5" customHeight="1" x14ac:dyDescent="0.25"/>
    <row r="8" spans="1:19" x14ac:dyDescent="0.25">
      <c r="C8" s="19" t="s">
        <v>28</v>
      </c>
      <c r="D8" s="29" t="s">
        <v>141</v>
      </c>
      <c r="E8" s="17">
        <f>INDEX(frete_rodo!B1:B9,MATCH(SIMULADOR!D8,frete_rodo!A1:A9,0),1)</f>
        <v>3</v>
      </c>
      <c r="F8" s="19" t="s">
        <v>97</v>
      </c>
      <c r="G8" s="29">
        <v>50</v>
      </c>
      <c r="H8" s="17">
        <f>INDEX(base_!D:D,MATCH(SIMULADOR!J8,base_!E:E,0),1)</f>
        <v>2</v>
      </c>
      <c r="I8" s="19" t="s">
        <v>20</v>
      </c>
      <c r="J8" s="29" t="s">
        <v>7</v>
      </c>
      <c r="K8" s="17" t="str">
        <f>CONCATENATE(D8,J8)</f>
        <v>Cristalina (GO) - Santos (SP) [954 km]Fevereiro</v>
      </c>
      <c r="L8" s="19" t="s">
        <v>30</v>
      </c>
      <c r="M8" s="29" t="s">
        <v>12</v>
      </c>
      <c r="N8" s="17">
        <f>INDEX(base_!D:D,MATCH(SIMULADOR!M8,base_!E:E,0),1)</f>
        <v>5</v>
      </c>
      <c r="O8" s="17" t="str">
        <f>CONCATENATE(D8,M8)</f>
        <v>Cristalina (GO) - Santos (SP) [954 km]Maio</v>
      </c>
      <c r="P8" s="17"/>
    </row>
    <row r="9" spans="1:19" ht="6" customHeight="1" x14ac:dyDescent="0.25"/>
    <row r="10" spans="1:19" s="9" customFormat="1" x14ac:dyDescent="0.25"/>
    <row r="11" spans="1:19" s="9" customFormat="1" x14ac:dyDescent="0.25"/>
    <row r="12" spans="1:19" s="9" customFormat="1" x14ac:dyDescent="0.25"/>
    <row r="13" spans="1:19" ht="4.5" customHeight="1" x14ac:dyDescent="0.25">
      <c r="A13" s="59"/>
    </row>
    <row r="14" spans="1:19" x14ac:dyDescent="0.25">
      <c r="A14" s="58" t="s">
        <v>32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19" ht="4.5" customHeight="1" x14ac:dyDescent="0.25"/>
    <row r="16" spans="1:19" x14ac:dyDescent="0.25">
      <c r="B16" s="54" t="str">
        <f>CONCATENATE("FRETE RODOVIÁRIO PARA O TRANSPORTE DE SOJA: ",D8)</f>
        <v>FRETE RODOVIÁRIO PARA O TRANSPORTE DE SOJA: Cristalina (GO) - Santos (SP) [954 km]</v>
      </c>
      <c r="C16" s="54"/>
      <c r="D16" s="54"/>
      <c r="E16" s="54"/>
      <c r="F16" s="54"/>
      <c r="G16" s="54"/>
      <c r="H16" s="14"/>
      <c r="I16" s="54" t="str">
        <f>CONCATENATE("FRETE RODOVIÁRIO PARA O TRANSPORTE DE SOJA: Transporte entre a fazenda e o armazém [",G8," km]")</f>
        <v>FRETE RODOVIÁRIO PARA O TRANSPORTE DE SOJA: Transporte entre a fazenda e o armazém [50 km]</v>
      </c>
      <c r="J16" s="54"/>
      <c r="K16" s="54"/>
      <c r="L16" s="54"/>
      <c r="M16" s="54"/>
      <c r="N16" s="54"/>
      <c r="O16" s="54"/>
      <c r="P16" s="54"/>
      <c r="Q16" s="54"/>
    </row>
    <row r="17" spans="6:8" x14ac:dyDescent="0.25">
      <c r="F17" s="15"/>
      <c r="G17" s="15"/>
      <c r="H17" s="15"/>
    </row>
    <row r="18" spans="6:8" x14ac:dyDescent="0.25"/>
    <row r="19" spans="6:8" x14ac:dyDescent="0.25"/>
    <row r="20" spans="6:8" x14ac:dyDescent="0.25"/>
    <row r="21" spans="6:8" x14ac:dyDescent="0.25"/>
    <row r="22" spans="6:8" x14ac:dyDescent="0.25"/>
    <row r="23" spans="6:8" x14ac:dyDescent="0.25"/>
    <row r="24" spans="6:8" x14ac:dyDescent="0.25"/>
    <row r="25" spans="6:8" x14ac:dyDescent="0.25"/>
    <row r="26" spans="6:8" x14ac:dyDescent="0.25"/>
    <row r="27" spans="6:8" x14ac:dyDescent="0.25"/>
    <row r="28" spans="6:8" x14ac:dyDescent="0.25"/>
    <row r="29" spans="6:8" x14ac:dyDescent="0.25"/>
    <row r="30" spans="6:8" x14ac:dyDescent="0.25"/>
    <row r="31" spans="6:8" x14ac:dyDescent="0.25"/>
    <row r="32" spans="6:8" x14ac:dyDescent="0.25"/>
    <row r="33" spans="1:19" x14ac:dyDescent="0.25"/>
    <row r="34" spans="1:19" x14ac:dyDescent="0.25"/>
    <row r="35" spans="1:19" x14ac:dyDescent="0.25">
      <c r="B35" s="20" t="s">
        <v>105</v>
      </c>
    </row>
    <row r="36" spans="1:19" ht="4.5" customHeight="1" x14ac:dyDescent="0.25"/>
    <row r="37" spans="1:19" x14ac:dyDescent="0.25">
      <c r="A37" s="58" t="s">
        <v>56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4.5" customHeight="1" x14ac:dyDescent="0.25"/>
    <row r="39" spans="1:19" x14ac:dyDescent="0.25">
      <c r="B39" s="55" t="s">
        <v>104</v>
      </c>
      <c r="C39" s="55"/>
      <c r="D39" s="55"/>
      <c r="E39" s="55"/>
      <c r="G39" s="55" t="str">
        <f>CONCATENATE("EXPORTAÇÃO DE SOJA DO ",exportação!F39)</f>
        <v>EXPORTAÇÃO DE SOJA DO GOIÁS</v>
      </c>
      <c r="H39" s="55"/>
      <c r="I39" s="55"/>
      <c r="J39" s="55"/>
      <c r="K39" s="55"/>
      <c r="L39" s="55"/>
      <c r="M39" s="55"/>
      <c r="N39" s="55"/>
      <c r="O39" s="55"/>
      <c r="P39" s="55"/>
    </row>
    <row r="40" spans="1:19" x14ac:dyDescent="0.25"/>
    <row r="41" spans="1:19" x14ac:dyDescent="0.25"/>
    <row r="42" spans="1:19" x14ac:dyDescent="0.25"/>
    <row r="43" spans="1:19" x14ac:dyDescent="0.25">
      <c r="G43" t="s">
        <v>76</v>
      </c>
      <c r="I43" t="s">
        <v>77</v>
      </c>
    </row>
    <row r="44" spans="1:19" x14ac:dyDescent="0.25"/>
    <row r="45" spans="1:19" x14ac:dyDescent="0.25"/>
    <row r="46" spans="1:19" x14ac:dyDescent="0.25"/>
    <row r="47" spans="1:19" x14ac:dyDescent="0.25"/>
    <row r="48" spans="1:19" x14ac:dyDescent="0.25"/>
    <row r="49" spans="1:19" x14ac:dyDescent="0.25"/>
    <row r="50" spans="1:19" x14ac:dyDescent="0.25"/>
    <row r="51" spans="1:19" x14ac:dyDescent="0.25"/>
    <row r="52" spans="1:19" x14ac:dyDescent="0.25"/>
    <row r="53" spans="1:19" x14ac:dyDescent="0.25"/>
    <row r="54" spans="1:19" x14ac:dyDescent="0.25"/>
    <row r="55" spans="1:19" x14ac:dyDescent="0.25"/>
    <row r="56" spans="1:19" x14ac:dyDescent="0.25"/>
    <row r="57" spans="1:19" x14ac:dyDescent="0.25"/>
    <row r="58" spans="1:19" x14ac:dyDescent="0.25">
      <c r="A58" s="59"/>
      <c r="B58" s="20" t="s">
        <v>102</v>
      </c>
      <c r="C58" s="5"/>
      <c r="G58" s="20" t="s">
        <v>103</v>
      </c>
    </row>
    <row r="59" spans="1:19" ht="4.5" customHeight="1" x14ac:dyDescent="0.25"/>
    <row r="60" spans="1:19" x14ac:dyDescent="0.25">
      <c r="A60" s="58" t="s">
        <v>79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</row>
    <row r="61" spans="1:19" ht="4.5" customHeight="1" x14ac:dyDescent="0.25"/>
    <row r="62" spans="1:19" x14ac:dyDescent="0.25">
      <c r="B62" s="55" t="str">
        <f>CONCATENATE("DÉFICIT DE ARMAZENAGEM DE GRÃOS NO ",exportação!F39)</f>
        <v>DÉFICIT DE ARMAZENAGEM DE GRÃOS NO GOIÁS</v>
      </c>
      <c r="C62" s="55"/>
      <c r="D62" s="55"/>
      <c r="E62" s="55"/>
      <c r="F62" s="55"/>
      <c r="G62" s="55"/>
      <c r="I62" s="55" t="str">
        <f>CONCATENATE("DÉFICIT DE ARMAZENAGEM DE GRÃOS NA REGIÃO DE ",cap_prod!B13)</f>
        <v>DÉFICIT DE ARMAZENAGEM DE GRÃOS NA REGIÃO DE CRISTALINA</v>
      </c>
      <c r="J62" s="55"/>
      <c r="K62" s="55"/>
      <c r="L62" s="55"/>
      <c r="M62" s="55"/>
      <c r="N62" s="55"/>
      <c r="O62" s="55"/>
      <c r="P62" s="55"/>
      <c r="Q62" s="55"/>
    </row>
    <row r="63" spans="1:19" x14ac:dyDescent="0.25"/>
    <row r="64" spans="1:1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spans="1:19" x14ac:dyDescent="0.25"/>
    <row r="82" spans="1:19" x14ac:dyDescent="0.25">
      <c r="A82" s="59"/>
      <c r="B82" s="20" t="s">
        <v>166</v>
      </c>
    </row>
    <row r="83" spans="1:19" ht="4.5" customHeight="1" x14ac:dyDescent="0.25"/>
    <row r="84" spans="1:19" x14ac:dyDescent="0.25">
      <c r="A84" s="58" t="s">
        <v>33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4.5" customHeight="1" x14ac:dyDescent="0.25"/>
    <row r="86" spans="1:19" x14ac:dyDescent="0.25"/>
    <row r="87" spans="1:19" x14ac:dyDescent="0.25"/>
    <row r="88" spans="1:19" x14ac:dyDescent="0.25"/>
    <row r="89" spans="1:19" x14ac:dyDescent="0.25"/>
    <row r="90" spans="1:19" x14ac:dyDescent="0.25"/>
    <row r="91" spans="1:19" x14ac:dyDescent="0.25"/>
    <row r="92" spans="1:19" x14ac:dyDescent="0.25"/>
    <row r="93" spans="1:19" x14ac:dyDescent="0.25"/>
    <row r="94" spans="1:19" x14ac:dyDescent="0.25"/>
    <row r="95" spans="1:19" x14ac:dyDescent="0.25"/>
    <row r="96" spans="1:19" x14ac:dyDescent="0.25"/>
    <row r="97" spans="1:19" x14ac:dyDescent="0.25"/>
    <row r="98" spans="1:19" x14ac:dyDescent="0.25"/>
    <row r="99" spans="1:19" x14ac:dyDescent="0.25"/>
    <row r="100" spans="1:19" x14ac:dyDescent="0.25"/>
    <row r="101" spans="1:19" x14ac:dyDescent="0.25"/>
    <row r="102" spans="1:19" x14ac:dyDescent="0.25"/>
    <row r="103" spans="1:19" x14ac:dyDescent="0.25"/>
    <row r="104" spans="1:19" x14ac:dyDescent="0.25">
      <c r="D104" s="1"/>
    </row>
    <row r="105" spans="1:19" x14ac:dyDescent="0.25">
      <c r="B105" s="20" t="s">
        <v>106</v>
      </c>
    </row>
    <row r="106" spans="1:19" ht="4.5" customHeight="1" x14ac:dyDescent="0.25"/>
    <row r="107" spans="1:19" x14ac:dyDescent="0.25">
      <c r="A107" s="58" t="s">
        <v>171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</row>
    <row r="108" spans="1:19" ht="4.5" customHeight="1" x14ac:dyDescent="0.25"/>
    <row r="109" spans="1:19" x14ac:dyDescent="0.25">
      <c r="B109" s="54" t="s">
        <v>169</v>
      </c>
      <c r="C109" s="54"/>
      <c r="D109" s="54"/>
      <c r="E109" s="54"/>
      <c r="F109" s="54"/>
      <c r="G109" s="54"/>
      <c r="I109" s="54" t="s">
        <v>98</v>
      </c>
      <c r="J109" s="54"/>
      <c r="K109" s="54"/>
      <c r="L109" s="54"/>
      <c r="M109" s="54"/>
      <c r="N109" s="54"/>
      <c r="O109" s="54"/>
      <c r="P109" s="54"/>
      <c r="Q109" s="54"/>
      <c r="R109" s="54"/>
    </row>
    <row r="110" spans="1:19" ht="15" customHeight="1" x14ac:dyDescent="0.25">
      <c r="I110" s="17"/>
      <c r="J110" s="17"/>
      <c r="K110" s="17"/>
    </row>
    <row r="111" spans="1:19" ht="15" customHeight="1" x14ac:dyDescent="0.25">
      <c r="I111" s="17" t="s">
        <v>80</v>
      </c>
      <c r="J111" s="18">
        <f>INDEX(base_!O:O,MATCH(SIMULADOR!M8,base_!E:E,0),1)</f>
        <v>1440.4206349206347</v>
      </c>
      <c r="K111" s="17"/>
      <c r="L111" s="17"/>
      <c r="M111" s="10"/>
    </row>
    <row r="112" spans="1:19" ht="15" customHeight="1" x14ac:dyDescent="0.25">
      <c r="I112" s="17" t="s">
        <v>101</v>
      </c>
      <c r="J112" s="18">
        <f>INDEX(base_!L:L,MATCH(SIMULADOR!O8,base_!C:C,0),1)</f>
        <v>186.5</v>
      </c>
      <c r="K112" s="17"/>
      <c r="L112" s="17"/>
      <c r="M112" s="10"/>
    </row>
    <row r="113" spans="4:13" ht="15" customHeight="1" x14ac:dyDescent="0.25">
      <c r="D113" s="13"/>
      <c r="I113" s="17" t="s">
        <v>100</v>
      </c>
      <c r="J113" s="18">
        <f>INDEX(base_!M:M,MATCH(SIMULADOR!K8,base_!C:C,0),1)</f>
        <v>11.303550000000001</v>
      </c>
      <c r="K113" s="17"/>
      <c r="L113" s="17"/>
      <c r="M113" s="10"/>
    </row>
    <row r="114" spans="4:13" ht="15" customHeight="1" x14ac:dyDescent="0.25">
      <c r="D114" s="13"/>
      <c r="I114" s="17" t="s">
        <v>82</v>
      </c>
      <c r="J114" s="18">
        <f>INDEX(preço_armazenagem!C:C,MATCH(SIMULADOR!K114,preço_armazenagem!A:A,0),1)</f>
        <v>36.396666666666668</v>
      </c>
      <c r="K114" s="17">
        <f>N8-H8</f>
        <v>3</v>
      </c>
      <c r="L114" s="17"/>
      <c r="M114" s="10"/>
    </row>
    <row r="115" spans="4:13" x14ac:dyDescent="0.25">
      <c r="I115" s="17" t="s">
        <v>170</v>
      </c>
      <c r="J115" s="18">
        <v>35</v>
      </c>
      <c r="K115" s="17"/>
      <c r="L115" s="17"/>
      <c r="M115" s="10"/>
    </row>
    <row r="116" spans="4:13" x14ac:dyDescent="0.25">
      <c r="I116" s="17" t="s">
        <v>83</v>
      </c>
      <c r="J116" s="18">
        <f>J111-J112-J113-J114-J115</f>
        <v>1171.2204182539679</v>
      </c>
      <c r="K116" s="17"/>
      <c r="L116" s="17"/>
      <c r="M116" s="10"/>
    </row>
    <row r="117" spans="4:13" x14ac:dyDescent="0.25">
      <c r="I117" s="17"/>
      <c r="J117" s="17">
        <f>J116/J111</f>
        <v>0.81310999707977705</v>
      </c>
      <c r="K117" s="17"/>
      <c r="L117" s="17"/>
      <c r="M117" s="10"/>
    </row>
    <row r="118" spans="4:13" x14ac:dyDescent="0.25">
      <c r="I118" s="10"/>
      <c r="J118" s="10"/>
      <c r="K118" s="10"/>
      <c r="L118" s="10"/>
      <c r="M118" s="10"/>
    </row>
    <row r="119" spans="4:13" x14ac:dyDescent="0.25">
      <c r="I119" s="10"/>
      <c r="J119" s="10"/>
      <c r="K119" s="10"/>
      <c r="L119" s="10"/>
      <c r="M119" s="10"/>
    </row>
    <row r="120" spans="4:13" x14ac:dyDescent="0.25">
      <c r="I120" s="10"/>
      <c r="J120" s="10"/>
      <c r="K120" s="10"/>
      <c r="L120" s="10"/>
      <c r="M120" s="10"/>
    </row>
    <row r="121" spans="4:13" x14ac:dyDescent="0.25">
      <c r="I121" s="10"/>
      <c r="J121" s="10"/>
      <c r="K121" s="10"/>
      <c r="L121" s="10"/>
      <c r="M121" s="10"/>
    </row>
    <row r="122" spans="4:13" x14ac:dyDescent="0.25">
      <c r="I122" s="10"/>
      <c r="J122" s="10"/>
      <c r="K122" s="10"/>
      <c r="L122" s="10"/>
      <c r="M122" s="10"/>
    </row>
    <row r="123" spans="4:13" x14ac:dyDescent="0.25">
      <c r="I123" s="6"/>
      <c r="J123" s="6"/>
      <c r="K123" s="6"/>
      <c r="L123" s="6"/>
    </row>
    <row r="124" spans="4:13" x14ac:dyDescent="0.25">
      <c r="I124" s="6"/>
      <c r="J124" s="6"/>
      <c r="K124" s="6"/>
      <c r="L124" s="6"/>
    </row>
    <row r="125" spans="4:13" x14ac:dyDescent="0.25"/>
    <row r="126" spans="4:13" x14ac:dyDescent="0.25"/>
    <row r="127" spans="4:13" x14ac:dyDescent="0.25"/>
    <row r="128" spans="4:13" x14ac:dyDescent="0.25"/>
    <row r="129" spans="1:18" x14ac:dyDescent="0.25">
      <c r="A129" s="59"/>
    </row>
    <row r="130" spans="1:18" x14ac:dyDescent="0.25">
      <c r="B130" s="54" t="s">
        <v>99</v>
      </c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</row>
    <row r="131" spans="1:18" x14ac:dyDescent="0.25"/>
    <row r="132" spans="1:18" x14ac:dyDescent="0.25"/>
    <row r="133" spans="1:18" x14ac:dyDescent="0.25"/>
    <row r="134" spans="1:18" x14ac:dyDescent="0.25"/>
    <row r="135" spans="1:18" x14ac:dyDescent="0.25"/>
    <row r="136" spans="1:18" x14ac:dyDescent="0.25"/>
    <row r="137" spans="1:18" x14ac:dyDescent="0.25"/>
    <row r="138" spans="1:18" x14ac:dyDescent="0.25"/>
    <row r="139" spans="1:18" x14ac:dyDescent="0.25"/>
    <row r="140" spans="1:18" x14ac:dyDescent="0.25"/>
    <row r="141" spans="1:18" x14ac:dyDescent="0.25"/>
    <row r="142" spans="1:18" x14ac:dyDescent="0.25"/>
    <row r="143" spans="1:18" x14ac:dyDescent="0.25"/>
    <row r="144" spans="1:18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</sheetData>
  <sheetProtection algorithmName="SHA-512" hashValue="0HZbmzxx49A5olQdmYkAkj37Boke585uvb3JfqJxDWC2l21mEyxHpSa7ISOABpckJj7ig/pQGzxK2PloFlDm2w==" saltValue="iPrHPoU29Q6CPXg2fdyd0w==" spinCount="100000" sheet="1" objects="1" scenarios="1" selectLockedCells="1"/>
  <mergeCells count="16">
    <mergeCell ref="A1:S4"/>
    <mergeCell ref="A6:S6"/>
    <mergeCell ref="A107:S107"/>
    <mergeCell ref="A14:S14"/>
    <mergeCell ref="A37:S37"/>
    <mergeCell ref="A60:S60"/>
    <mergeCell ref="A84:S84"/>
    <mergeCell ref="B16:G16"/>
    <mergeCell ref="I16:Q16"/>
    <mergeCell ref="B130:R130"/>
    <mergeCell ref="G39:P39"/>
    <mergeCell ref="B109:G109"/>
    <mergeCell ref="I109:R109"/>
    <mergeCell ref="B62:G62"/>
    <mergeCell ref="I62:Q62"/>
    <mergeCell ref="B39:E39"/>
  </mergeCells>
  <dataValidations disablePrompts="1" count="1">
    <dataValidation type="list" allowBlank="1" showInputMessage="1" showErrorMessage="1" sqref="J8">
      <formula1>"Janeiro, Fevereiro, Março, Abril"</formula1>
    </dataValidation>
  </dataValidation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base_!$E$2:$E$13</xm:f>
          </x14:formula1>
          <xm:sqref>M8</xm:sqref>
        </x14:dataValidation>
        <x14:dataValidation type="list" allowBlank="1" showInputMessage="1" showErrorMessage="1">
          <x14:formula1>
            <xm:f>frete_rodo!$A$2:$A$9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9"/>
  <sheetViews>
    <sheetView topLeftCell="D76" workbookViewId="0">
      <selection activeCell="L87" sqref="L87"/>
    </sheetView>
  </sheetViews>
  <sheetFormatPr defaultRowHeight="15" x14ac:dyDescent="0.25"/>
  <cols>
    <col min="3" max="3" width="53.7109375" bestFit="1" customWidth="1"/>
    <col min="4" max="4" width="9.7109375" bestFit="1" customWidth="1"/>
    <col min="5" max="5" width="10.42578125" bestFit="1" customWidth="1"/>
    <col min="6" max="6" width="44" bestFit="1" customWidth="1"/>
    <col min="7" max="7" width="18.140625" bestFit="1" customWidth="1"/>
    <col min="8" max="8" width="4" bestFit="1" customWidth="1"/>
    <col min="9" max="9" width="9.42578125" bestFit="1" customWidth="1"/>
    <col min="10" max="10" width="4" bestFit="1" customWidth="1"/>
    <col min="11" max="11" width="9" bestFit="1" customWidth="1"/>
    <col min="12" max="12" width="12" style="16" bestFit="1" customWidth="1"/>
    <col min="13" max="13" width="11.5703125" style="16" bestFit="1" customWidth="1"/>
    <col min="14" max="14" width="13.5703125" bestFit="1" customWidth="1"/>
    <col min="15" max="15" width="12" bestFit="1" customWidth="1"/>
    <col min="19" max="19" width="11.5703125" bestFit="1" customWidth="1"/>
    <col min="30" max="30" width="40.7109375" bestFit="1" customWidth="1"/>
    <col min="35" max="35" width="9.5703125" bestFit="1" customWidth="1"/>
    <col min="36" max="36" width="10.5703125" bestFit="1" customWidth="1"/>
    <col min="37" max="37" width="9.28515625" bestFit="1" customWidth="1"/>
    <col min="38" max="39" width="9.5703125" bestFit="1" customWidth="1"/>
    <col min="40" max="40" width="12.140625" bestFit="1" customWidth="1"/>
    <col min="41" max="41" width="19.5703125" bestFit="1" customWidth="1"/>
    <col min="42" max="42" width="12.140625" bestFit="1" customWidth="1"/>
    <col min="43" max="43" width="10.5703125" bestFit="1" customWidth="1"/>
    <col min="44" max="44" width="9.5703125" bestFit="1" customWidth="1"/>
    <col min="45" max="45" width="10.5703125" bestFit="1" customWidth="1"/>
  </cols>
  <sheetData>
    <row r="1" spans="1:45" x14ac:dyDescent="0.25">
      <c r="A1" t="s">
        <v>78</v>
      </c>
      <c r="B1" t="s">
        <v>90</v>
      </c>
      <c r="C1" t="s">
        <v>81</v>
      </c>
      <c r="D1" t="s">
        <v>8</v>
      </c>
      <c r="E1" t="s">
        <v>0</v>
      </c>
      <c r="F1" t="s">
        <v>5</v>
      </c>
      <c r="G1" t="s">
        <v>34</v>
      </c>
      <c r="H1" t="s">
        <v>35</v>
      </c>
      <c r="I1" t="s">
        <v>36</v>
      </c>
      <c r="J1" t="s">
        <v>35</v>
      </c>
      <c r="K1" t="s">
        <v>29</v>
      </c>
      <c r="L1" s="16" t="s">
        <v>57</v>
      </c>
      <c r="M1" s="16" t="s">
        <v>58</v>
      </c>
      <c r="N1" t="s">
        <v>59</v>
      </c>
      <c r="O1" t="s">
        <v>61</v>
      </c>
      <c r="P1" t="s">
        <v>66</v>
      </c>
      <c r="Q1" t="s">
        <v>68</v>
      </c>
      <c r="R1" t="s">
        <v>67</v>
      </c>
      <c r="S1" t="s">
        <v>69</v>
      </c>
      <c r="T1" t="s">
        <v>70</v>
      </c>
      <c r="U1" t="s">
        <v>71</v>
      </c>
      <c r="V1" t="s">
        <v>72</v>
      </c>
      <c r="W1" s="11" t="s">
        <v>73</v>
      </c>
      <c r="X1" s="11" t="s">
        <v>74</v>
      </c>
      <c r="Y1" t="s">
        <v>75</v>
      </c>
      <c r="AE1" t="s">
        <v>4</v>
      </c>
      <c r="AF1">
        <f>SIMULADOR!H8</f>
        <v>2</v>
      </c>
    </row>
    <row r="2" spans="1:45" x14ac:dyDescent="0.25">
      <c r="A2">
        <v>1</v>
      </c>
      <c r="B2" t="str">
        <f>CONCATENATE(F2,D2)</f>
        <v>Balsas (MA) - São Luís (MA) [834 km]1</v>
      </c>
      <c r="C2" t="str">
        <f>CONCATENATE(F2,E2)</f>
        <v>Balsas (MA) - São Luís (MA) [834 km]Janeiro</v>
      </c>
      <c r="D2">
        <v>1</v>
      </c>
      <c r="E2" t="s">
        <v>9</v>
      </c>
      <c r="F2" t="str">
        <f>CONCATENATE(G2," (",H2,") - ",I2," (",J2,") [",K2," km]")</f>
        <v>Balsas (MA) - São Luís (MA) [834 km]</v>
      </c>
      <c r="G2" t="s">
        <v>47</v>
      </c>
      <c r="H2" t="s">
        <v>46</v>
      </c>
      <c r="I2" t="s">
        <v>45</v>
      </c>
      <c r="J2" t="s">
        <v>46</v>
      </c>
      <c r="K2">
        <v>834</v>
      </c>
      <c r="L2" s="16">
        <v>117.5</v>
      </c>
      <c r="M2" s="16">
        <f>W2+X2*Y2</f>
        <v>10.583549999999999</v>
      </c>
      <c r="O2">
        <v>1379.1000000000001</v>
      </c>
      <c r="P2">
        <v>514370</v>
      </c>
      <c r="Q2" s="2">
        <v>1054522</v>
      </c>
      <c r="R2" s="2">
        <v>2261797</v>
      </c>
      <c r="W2" s="11">
        <v>6.3535500000000003</v>
      </c>
      <c r="X2" s="11">
        <v>8.4599999999999995E-2</v>
      </c>
      <c r="Y2">
        <f>SIMULADOR!$G$8</f>
        <v>50</v>
      </c>
      <c r="AE2" t="s">
        <v>84</v>
      </c>
      <c r="AF2">
        <f>SIMULADOR!N8</f>
        <v>5</v>
      </c>
      <c r="AH2" t="s">
        <v>85</v>
      </c>
      <c r="AI2" t="s">
        <v>86</v>
      </c>
      <c r="AJ2" t="s">
        <v>87</v>
      </c>
      <c r="AK2" t="s">
        <v>91</v>
      </c>
      <c r="AL2" t="s">
        <v>92</v>
      </c>
      <c r="AM2" t="s">
        <v>88</v>
      </c>
      <c r="AN2" t="s">
        <v>80</v>
      </c>
      <c r="AO2" t="s">
        <v>89</v>
      </c>
      <c r="AP2" t="s">
        <v>93</v>
      </c>
      <c r="AQ2" t="s">
        <v>94</v>
      </c>
      <c r="AR2" t="s">
        <v>95</v>
      </c>
      <c r="AS2" t="s">
        <v>96</v>
      </c>
    </row>
    <row r="3" spans="1:45" x14ac:dyDescent="0.25">
      <c r="A3">
        <v>2</v>
      </c>
      <c r="B3" t="str">
        <f t="shared" ref="B3:B66" si="0">CONCATENATE(F3,D3)</f>
        <v>Balsas (MA) - São Luís (MA) [834 km]2</v>
      </c>
      <c r="C3" t="str">
        <f t="shared" ref="C3:C66" si="1">CONCATENATE(F3,E3)</f>
        <v>Balsas (MA) - São Luís (MA) [834 km]Fevereiro</v>
      </c>
      <c r="D3">
        <v>2</v>
      </c>
      <c r="E3" t="s">
        <v>7</v>
      </c>
      <c r="F3" t="str">
        <f t="shared" ref="F3:F13" si="2">CONCATENATE(G3," (",H3,") - ",I3," (",J3,") [",K3," km]")</f>
        <v>Balsas (MA) - São Luís (MA) [834 km]</v>
      </c>
      <c r="G3" t="s">
        <v>47</v>
      </c>
      <c r="H3" t="s">
        <v>46</v>
      </c>
      <c r="I3" t="s">
        <v>45</v>
      </c>
      <c r="J3" t="s">
        <v>46</v>
      </c>
      <c r="K3">
        <v>834</v>
      </c>
      <c r="L3" s="16">
        <v>115.25</v>
      </c>
      <c r="M3" s="16">
        <f t="shared" ref="M3:M66" si="3">W3+X3*Y3</f>
        <v>11.303550000000001</v>
      </c>
      <c r="O3">
        <v>1297.1578947368421</v>
      </c>
      <c r="P3">
        <v>514370</v>
      </c>
      <c r="Q3" s="2">
        <v>1054522</v>
      </c>
      <c r="R3" s="2">
        <v>2261797</v>
      </c>
      <c r="W3" s="11">
        <v>6.3535500000000003</v>
      </c>
      <c r="X3" s="11">
        <v>9.9000000000000005E-2</v>
      </c>
      <c r="Y3">
        <f>SIMULADOR!$G$8</f>
        <v>50</v>
      </c>
      <c r="AC3" t="str">
        <f>CONCATENATE(SIMULADOR!$D$8,base_!$AF$1)</f>
        <v>Cristalina (GO) - Santos (SP) [954 km]2</v>
      </c>
      <c r="AD3" t="str">
        <f>CONCATENATE(SIMULADOR!$D$8,base_!AF3)</f>
        <v>Cristalina (GO) - Santos (SP) [954 km]Janeiro</v>
      </c>
      <c r="AE3">
        <v>1</v>
      </c>
      <c r="AF3" t="s">
        <v>9</v>
      </c>
      <c r="AG3">
        <f t="shared" ref="AG3:AG4" si="4">AE3-$AF$1</f>
        <v>-1</v>
      </c>
      <c r="AH3">
        <f>IF(AG3&lt;0,0,AG3)</f>
        <v>0</v>
      </c>
      <c r="AI3" s="16">
        <f>INDEX(preço_armazenagem!C:C,MATCH(base_!AH3,preço_armazenagem!A:A,0),1)</f>
        <v>0</v>
      </c>
      <c r="AJ3" s="16">
        <f>INDEX(L:L,MATCH(AD3,C:C,0),1)</f>
        <v>172.24</v>
      </c>
      <c r="AK3" s="16">
        <f>INDEX(M:M,MATCH(AC3,B:B,0),1)</f>
        <v>11.303550000000001</v>
      </c>
      <c r="AL3" s="16">
        <f>INDEX(M:M,MATCH(AD3,C:C,0),1)</f>
        <v>10.583549999999999</v>
      </c>
      <c r="AM3" s="16">
        <v>35</v>
      </c>
      <c r="AN3" s="16">
        <f>IF(AE3&lt;$AF$1,0,INDEX(O:O,MATCH(AD3,C:C,0),1))</f>
        <v>0</v>
      </c>
      <c r="AO3" s="16">
        <f t="shared" ref="AO3:AO5" si="5">IF(AE3&lt;$AF$1,0,(AN3-AI3-AJ3-AK3-AM3))</f>
        <v>0</v>
      </c>
      <c r="AP3" s="16">
        <f>INDEX($AO$3:$AO$14,MATCH($AF$1,$AE$3:$AE$14,0),1)</f>
        <v>1081.1076447368421</v>
      </c>
      <c r="AQ3" s="16">
        <f>IF(AO3=0,0,AO3-AP3)</f>
        <v>0</v>
      </c>
      <c r="AR3" s="16">
        <f>IF(AQ3&lt;0,AQ3,0)</f>
        <v>0</v>
      </c>
      <c r="AS3" s="16">
        <f>IF(AQ3&gt;0,AQ3,0)</f>
        <v>0</v>
      </c>
    </row>
    <row r="4" spans="1:45" x14ac:dyDescent="0.25">
      <c r="A4">
        <v>3</v>
      </c>
      <c r="B4" t="str">
        <f t="shared" si="0"/>
        <v>Balsas (MA) - São Luís (MA) [834 km]3</v>
      </c>
      <c r="C4" t="str">
        <f t="shared" si="1"/>
        <v>Balsas (MA) - São Luís (MA) [834 km]Março</v>
      </c>
      <c r="D4">
        <v>3</v>
      </c>
      <c r="E4" t="s">
        <v>10</v>
      </c>
      <c r="F4" t="str">
        <f t="shared" si="2"/>
        <v>Balsas (MA) - São Luís (MA) [834 km]</v>
      </c>
      <c r="G4" t="s">
        <v>47</v>
      </c>
      <c r="H4" t="s">
        <v>46</v>
      </c>
      <c r="I4" t="s">
        <v>45</v>
      </c>
      <c r="J4" t="s">
        <v>46</v>
      </c>
      <c r="K4">
        <v>834</v>
      </c>
      <c r="L4" s="16">
        <v>109.89125</v>
      </c>
      <c r="M4" s="16">
        <f t="shared" si="3"/>
        <v>11.003550000000001</v>
      </c>
      <c r="O4">
        <v>1242.1287878787878</v>
      </c>
      <c r="P4">
        <v>514370</v>
      </c>
      <c r="Q4" s="2">
        <v>1054522</v>
      </c>
      <c r="R4" s="2">
        <v>2261797</v>
      </c>
      <c r="W4" s="11">
        <v>6.3535500000000003</v>
      </c>
      <c r="X4" s="11">
        <v>9.2999999999999999E-2</v>
      </c>
      <c r="Y4">
        <f>SIMULADOR!$G$8</f>
        <v>50</v>
      </c>
      <c r="AC4" t="str">
        <f>CONCATENATE(SIMULADOR!$D$8,base_!$AF$1)</f>
        <v>Cristalina (GO) - Santos (SP) [954 km]2</v>
      </c>
      <c r="AD4" t="str">
        <f>CONCATENATE(SIMULADOR!$D$8,base_!AF4)</f>
        <v>Cristalina (GO) - Santos (SP) [954 km]Fevereiro</v>
      </c>
      <c r="AE4">
        <v>2</v>
      </c>
      <c r="AF4" t="s">
        <v>7</v>
      </c>
      <c r="AG4">
        <f t="shared" si="4"/>
        <v>0</v>
      </c>
      <c r="AH4">
        <f t="shared" ref="AH4:AH14" si="6">IF(AG4&lt;0,0,AG4)</f>
        <v>0</v>
      </c>
      <c r="AI4" s="16">
        <f>INDEX(preço_armazenagem!C:C,MATCH(base_!AH4,preço_armazenagem!A:A,0),1)</f>
        <v>0</v>
      </c>
      <c r="AJ4" s="16">
        <f t="shared" ref="AJ4:AJ14" si="7">INDEX(L:L,MATCH(AD4,C:C,0),1)</f>
        <v>169.7467</v>
      </c>
      <c r="AK4" s="16">
        <f t="shared" ref="AK4:AK14" si="8">INDEX(M:M,MATCH(AC4,B:B,0),1)</f>
        <v>11.303550000000001</v>
      </c>
      <c r="AL4" s="16">
        <f t="shared" ref="AL4:AL14" si="9">INDEX(M:M,MATCH(AD4,C:C,0),1)</f>
        <v>11.303550000000001</v>
      </c>
      <c r="AM4" s="16">
        <v>35</v>
      </c>
      <c r="AN4" s="16">
        <f t="shared" ref="AN4:AN14" si="10">IF(AE4&lt;$AF$1,0,INDEX(O:O,MATCH(AD4,C:C,0),1))</f>
        <v>1297.1578947368421</v>
      </c>
      <c r="AO4" s="16">
        <f t="shared" si="5"/>
        <v>1081.1076447368421</v>
      </c>
      <c r="AP4" s="16">
        <f t="shared" ref="AP4:AP14" si="11">INDEX($AO$3:$AO$14,MATCH($AF$1,$AE$3:$AE$14,0),1)</f>
        <v>1081.1076447368421</v>
      </c>
      <c r="AQ4" s="16">
        <f t="shared" ref="AQ4:AQ14" si="12">IF(AO4=0,0,AO4-AP4)</f>
        <v>0</v>
      </c>
      <c r="AR4" s="16">
        <f t="shared" ref="AR4:AR14" si="13">IF(AQ4&lt;0,AQ4,0)</f>
        <v>0</v>
      </c>
      <c r="AS4" s="16">
        <f t="shared" ref="AS4:AS14" si="14">IF(AQ4&gt;0,AQ4,0)</f>
        <v>0</v>
      </c>
    </row>
    <row r="5" spans="1:45" x14ac:dyDescent="0.25">
      <c r="A5">
        <v>4</v>
      </c>
      <c r="B5" t="str">
        <f t="shared" si="0"/>
        <v>Balsas (MA) - São Luís (MA) [834 km]4</v>
      </c>
      <c r="C5" t="str">
        <f t="shared" si="1"/>
        <v>Balsas (MA) - São Luís (MA) [834 km]Abril</v>
      </c>
      <c r="D5">
        <v>4</v>
      </c>
      <c r="E5" t="s">
        <v>11</v>
      </c>
      <c r="F5" t="str">
        <f t="shared" si="2"/>
        <v>Balsas (MA) - São Luís (MA) [834 km]</v>
      </c>
      <c r="G5" t="s">
        <v>47</v>
      </c>
      <c r="H5" t="s">
        <v>46</v>
      </c>
      <c r="I5" t="s">
        <v>45</v>
      </c>
      <c r="J5" t="s">
        <v>46</v>
      </c>
      <c r="K5">
        <v>834</v>
      </c>
      <c r="L5" s="16">
        <v>122.8642857142857</v>
      </c>
      <c r="M5" s="16">
        <f t="shared" si="3"/>
        <v>13.46855</v>
      </c>
      <c r="O5">
        <v>1300.7083333333335</v>
      </c>
      <c r="P5">
        <v>514370</v>
      </c>
      <c r="Q5" s="2">
        <v>1054522</v>
      </c>
      <c r="R5" s="2">
        <v>2261797</v>
      </c>
      <c r="W5" s="11">
        <v>6.3535500000000003</v>
      </c>
      <c r="X5" s="11">
        <v>0.14230000000000001</v>
      </c>
      <c r="Y5">
        <f>SIMULADOR!$G$8</f>
        <v>50</v>
      </c>
      <c r="AC5" t="str">
        <f>CONCATENATE(SIMULADOR!$D$8,base_!$AF$1)</f>
        <v>Cristalina (GO) - Santos (SP) [954 km]2</v>
      </c>
      <c r="AD5" t="str">
        <f>CONCATENATE(SIMULADOR!$D$8,base_!AF5)</f>
        <v>Cristalina (GO) - Santos (SP) [954 km]Março</v>
      </c>
      <c r="AE5">
        <v>3</v>
      </c>
      <c r="AF5" t="s">
        <v>10</v>
      </c>
      <c r="AG5">
        <f>AE5-$AF$1</f>
        <v>1</v>
      </c>
      <c r="AH5">
        <f t="shared" si="6"/>
        <v>1</v>
      </c>
      <c r="AI5" s="16">
        <f>INDEX(preço_armazenagem!C:C,MATCH(base_!AH5,preço_armazenagem!A:A,0),1)</f>
        <v>27.566666666666663</v>
      </c>
      <c r="AJ5" s="16">
        <f t="shared" si="7"/>
        <v>189.2</v>
      </c>
      <c r="AK5" s="16">
        <f t="shared" si="8"/>
        <v>11.303550000000001</v>
      </c>
      <c r="AL5" s="16">
        <f t="shared" si="9"/>
        <v>11.003550000000001</v>
      </c>
      <c r="AM5" s="16">
        <v>35</v>
      </c>
      <c r="AN5" s="16">
        <f t="shared" si="10"/>
        <v>1242.1287878787878</v>
      </c>
      <c r="AO5" s="16">
        <f t="shared" si="5"/>
        <v>979.05857121212114</v>
      </c>
      <c r="AP5" s="16">
        <f t="shared" si="11"/>
        <v>1081.1076447368421</v>
      </c>
      <c r="AQ5" s="16">
        <f t="shared" si="12"/>
        <v>-102.04907352472094</v>
      </c>
      <c r="AR5" s="16">
        <f t="shared" si="13"/>
        <v>-102.04907352472094</v>
      </c>
      <c r="AS5" s="16">
        <f t="shared" si="14"/>
        <v>0</v>
      </c>
    </row>
    <row r="6" spans="1:45" x14ac:dyDescent="0.25">
      <c r="A6">
        <v>5</v>
      </c>
      <c r="B6" t="str">
        <f t="shared" si="0"/>
        <v>Balsas (MA) - São Luís (MA) [834 km]5</v>
      </c>
      <c r="C6" t="str">
        <f t="shared" si="1"/>
        <v>Balsas (MA) - São Luís (MA) [834 km]Maio</v>
      </c>
      <c r="D6">
        <v>5</v>
      </c>
      <c r="E6" t="s">
        <v>12</v>
      </c>
      <c r="F6" t="str">
        <f t="shared" si="2"/>
        <v>Balsas (MA) - São Luís (MA) [834 km]</v>
      </c>
      <c r="G6" t="s">
        <v>47</v>
      </c>
      <c r="H6" t="s">
        <v>46</v>
      </c>
      <c r="I6" t="s">
        <v>45</v>
      </c>
      <c r="J6" t="s">
        <v>46</v>
      </c>
      <c r="K6">
        <v>834</v>
      </c>
      <c r="L6" s="16">
        <v>121.41666666666666</v>
      </c>
      <c r="M6" s="16">
        <f t="shared" si="3"/>
        <v>12.80855</v>
      </c>
      <c r="O6">
        <v>1440.4206349206347</v>
      </c>
      <c r="P6">
        <v>514370</v>
      </c>
      <c r="Q6" s="2">
        <v>1054522</v>
      </c>
      <c r="R6" s="2">
        <v>2261797</v>
      </c>
      <c r="W6" s="11">
        <v>6.3535500000000003</v>
      </c>
      <c r="X6" s="11">
        <v>0.12909999999999999</v>
      </c>
      <c r="Y6">
        <f>SIMULADOR!$G$8</f>
        <v>50</v>
      </c>
      <c r="AC6" t="str">
        <f>CONCATENATE(SIMULADOR!$D$8,base_!$AF$1)</f>
        <v>Cristalina (GO) - Santos (SP) [954 km]2</v>
      </c>
      <c r="AD6" t="str">
        <f>CONCATENATE(SIMULADOR!$D$8,base_!AF6)</f>
        <v>Cristalina (GO) - Santos (SP) [954 km]Abril</v>
      </c>
      <c r="AE6">
        <v>4</v>
      </c>
      <c r="AF6" t="s">
        <v>11</v>
      </c>
      <c r="AG6">
        <f t="shared" ref="AG6:AG14" si="15">AE6-$AF$1</f>
        <v>2</v>
      </c>
      <c r="AH6">
        <f t="shared" si="6"/>
        <v>2</v>
      </c>
      <c r="AI6" s="16">
        <f>INDEX(preço_armazenagem!C:C,MATCH(base_!AH6,preço_armazenagem!A:A,0),1)</f>
        <v>31.733333333333334</v>
      </c>
      <c r="AJ6" s="16">
        <f t="shared" si="7"/>
        <v>199.60000000000002</v>
      </c>
      <c r="AK6" s="16">
        <f t="shared" si="8"/>
        <v>11.303550000000001</v>
      </c>
      <c r="AL6" s="16">
        <f t="shared" si="9"/>
        <v>13.46855</v>
      </c>
      <c r="AM6" s="16">
        <v>35</v>
      </c>
      <c r="AN6" s="16">
        <f t="shared" si="10"/>
        <v>1300.7083333333335</v>
      </c>
      <c r="AO6" s="16">
        <f>IF(AE6&lt;$AF$1,0,(AN6-AI6-AJ6-AK6-AM6))</f>
        <v>1023.0714499999999</v>
      </c>
      <c r="AP6" s="16">
        <f t="shared" si="11"/>
        <v>1081.1076447368421</v>
      </c>
      <c r="AQ6" s="16">
        <f t="shared" si="12"/>
        <v>-58.036194736842162</v>
      </c>
      <c r="AR6" s="16">
        <f t="shared" si="13"/>
        <v>-58.036194736842162</v>
      </c>
      <c r="AS6" s="16">
        <f t="shared" si="14"/>
        <v>0</v>
      </c>
    </row>
    <row r="7" spans="1:45" x14ac:dyDescent="0.25">
      <c r="A7">
        <v>6</v>
      </c>
      <c r="B7" t="str">
        <f t="shared" si="0"/>
        <v>Balsas (MA) - São Luís (MA) [834 km]6</v>
      </c>
      <c r="C7" t="str">
        <f t="shared" si="1"/>
        <v>Balsas (MA) - São Luís (MA) [834 km]Junho</v>
      </c>
      <c r="D7">
        <v>6</v>
      </c>
      <c r="E7" t="s">
        <v>13</v>
      </c>
      <c r="F7" t="str">
        <f t="shared" si="2"/>
        <v>Balsas (MA) - São Luís (MA) [834 km]</v>
      </c>
      <c r="G7" t="s">
        <v>47</v>
      </c>
      <c r="H7" t="s">
        <v>46</v>
      </c>
      <c r="I7" t="s">
        <v>45</v>
      </c>
      <c r="J7" t="s">
        <v>46</v>
      </c>
      <c r="K7">
        <v>834</v>
      </c>
      <c r="L7" s="16">
        <v>114.21428571428572</v>
      </c>
      <c r="M7" s="16">
        <f t="shared" si="3"/>
        <v>12.378550000000001</v>
      </c>
      <c r="O7">
        <v>1586.4696969696972</v>
      </c>
      <c r="P7">
        <v>514370</v>
      </c>
      <c r="Q7" s="2">
        <v>1054522</v>
      </c>
      <c r="R7" s="2">
        <v>2261797</v>
      </c>
      <c r="W7" s="11">
        <v>6.3535500000000003</v>
      </c>
      <c r="X7" s="11">
        <v>0.1205</v>
      </c>
      <c r="Y7">
        <f>SIMULADOR!$G$8</f>
        <v>50</v>
      </c>
      <c r="AC7" t="str">
        <f>CONCATENATE(SIMULADOR!$D$8,base_!$AF$1)</f>
        <v>Cristalina (GO) - Santos (SP) [954 km]2</v>
      </c>
      <c r="AD7" t="str">
        <f>CONCATENATE(SIMULADOR!$D$8,base_!AF7)</f>
        <v>Cristalina (GO) - Santos (SP) [954 km]Maio</v>
      </c>
      <c r="AE7">
        <v>5</v>
      </c>
      <c r="AF7" t="s">
        <v>12</v>
      </c>
      <c r="AG7">
        <f t="shared" si="15"/>
        <v>3</v>
      </c>
      <c r="AH7">
        <f t="shared" si="6"/>
        <v>3</v>
      </c>
      <c r="AI7" s="16">
        <f>INDEX(preço_armazenagem!C:C,MATCH(base_!AH7,preço_armazenagem!A:A,0),1)</f>
        <v>36.396666666666668</v>
      </c>
      <c r="AJ7" s="16">
        <f t="shared" si="7"/>
        <v>186.5</v>
      </c>
      <c r="AK7" s="16">
        <f t="shared" si="8"/>
        <v>11.303550000000001</v>
      </c>
      <c r="AL7" s="16">
        <f t="shared" si="9"/>
        <v>12.80855</v>
      </c>
      <c r="AM7" s="16">
        <v>35</v>
      </c>
      <c r="AN7" s="16">
        <f t="shared" si="10"/>
        <v>1440.4206349206347</v>
      </c>
      <c r="AO7" s="16">
        <f t="shared" ref="AO7:AO14" si="16">IF(AE7&lt;$AF$1,0,(AN7-AI7-AJ7-AK7-AM7))</f>
        <v>1171.2204182539679</v>
      </c>
      <c r="AP7" s="16">
        <f t="shared" si="11"/>
        <v>1081.1076447368421</v>
      </c>
      <c r="AQ7" s="16">
        <f t="shared" si="12"/>
        <v>90.112773517125788</v>
      </c>
      <c r="AR7" s="16">
        <f t="shared" si="13"/>
        <v>0</v>
      </c>
      <c r="AS7" s="16">
        <f t="shared" si="14"/>
        <v>90.112773517125788</v>
      </c>
    </row>
    <row r="8" spans="1:45" x14ac:dyDescent="0.25">
      <c r="A8">
        <v>7</v>
      </c>
      <c r="B8" t="str">
        <f t="shared" si="0"/>
        <v>Balsas (MA) - São Luís (MA) [834 km]7</v>
      </c>
      <c r="C8" t="str">
        <f t="shared" si="1"/>
        <v>Balsas (MA) - São Luís (MA) [834 km]Julho</v>
      </c>
      <c r="D8">
        <v>7</v>
      </c>
      <c r="E8" t="s">
        <v>14</v>
      </c>
      <c r="F8" t="str">
        <f t="shared" si="2"/>
        <v>Balsas (MA) - São Luís (MA) [834 km]</v>
      </c>
      <c r="G8" t="s">
        <v>47</v>
      </c>
      <c r="H8" t="s">
        <v>46</v>
      </c>
      <c r="I8" t="s">
        <v>45</v>
      </c>
      <c r="J8" t="s">
        <v>46</v>
      </c>
      <c r="K8">
        <v>834</v>
      </c>
      <c r="L8" s="16">
        <v>111.30803571428572</v>
      </c>
      <c r="M8" s="16">
        <f t="shared" si="3"/>
        <v>10.583549999999999</v>
      </c>
      <c r="O8">
        <v>1457.7380952380952</v>
      </c>
      <c r="P8">
        <v>514370</v>
      </c>
      <c r="Q8" s="2">
        <v>1054522</v>
      </c>
      <c r="R8" s="2">
        <v>2261797</v>
      </c>
      <c r="W8" s="11">
        <v>6.3535500000000003</v>
      </c>
      <c r="X8" s="11">
        <v>8.4599999999999995E-2</v>
      </c>
      <c r="Y8">
        <f>SIMULADOR!$G$8</f>
        <v>50</v>
      </c>
      <c r="AC8" t="str">
        <f>CONCATENATE(SIMULADOR!$D$8,base_!$AF$1)</f>
        <v>Cristalina (GO) - Santos (SP) [954 km]2</v>
      </c>
      <c r="AD8" t="str">
        <f>CONCATENATE(SIMULADOR!$D$8,base_!AF8)</f>
        <v>Cristalina (GO) - Santos (SP) [954 km]Junho</v>
      </c>
      <c r="AE8">
        <v>6</v>
      </c>
      <c r="AF8" t="s">
        <v>13</v>
      </c>
      <c r="AG8">
        <f t="shared" si="15"/>
        <v>4</v>
      </c>
      <c r="AH8">
        <f t="shared" si="6"/>
        <v>4</v>
      </c>
      <c r="AI8" s="16">
        <f>INDEX(preço_armazenagem!C:C,MATCH(base_!AH8,preço_armazenagem!A:A,0),1)</f>
        <v>41.060000000000009</v>
      </c>
      <c r="AJ8" s="16">
        <f t="shared" si="7"/>
        <v>173.77499999999998</v>
      </c>
      <c r="AK8" s="16">
        <f t="shared" si="8"/>
        <v>11.303550000000001</v>
      </c>
      <c r="AL8" s="16">
        <f t="shared" si="9"/>
        <v>12.378550000000001</v>
      </c>
      <c r="AM8" s="16">
        <v>35</v>
      </c>
      <c r="AN8" s="16">
        <f t="shared" si="10"/>
        <v>1586.4696969696972</v>
      </c>
      <c r="AO8" s="16">
        <f t="shared" si="16"/>
        <v>1325.3311469696973</v>
      </c>
      <c r="AP8" s="16">
        <f t="shared" si="11"/>
        <v>1081.1076447368421</v>
      </c>
      <c r="AQ8" s="16">
        <f t="shared" si="12"/>
        <v>244.22350223285525</v>
      </c>
      <c r="AR8" s="16">
        <f t="shared" si="13"/>
        <v>0</v>
      </c>
      <c r="AS8" s="16">
        <f t="shared" si="14"/>
        <v>244.22350223285525</v>
      </c>
    </row>
    <row r="9" spans="1:45" x14ac:dyDescent="0.25">
      <c r="A9">
        <v>8</v>
      </c>
      <c r="B9" t="str">
        <f t="shared" si="0"/>
        <v>Balsas (MA) - São Luís (MA) [834 km]8</v>
      </c>
      <c r="C9" t="str">
        <f t="shared" si="1"/>
        <v>Balsas (MA) - São Luís (MA) [834 km]Agosto</v>
      </c>
      <c r="D9">
        <v>8</v>
      </c>
      <c r="E9" t="s">
        <v>15</v>
      </c>
      <c r="F9" t="str">
        <f t="shared" si="2"/>
        <v>Balsas (MA) - São Luís (MA) [834 km]</v>
      </c>
      <c r="G9" t="s">
        <v>47</v>
      </c>
      <c r="H9" t="s">
        <v>46</v>
      </c>
      <c r="I9" t="s">
        <v>45</v>
      </c>
      <c r="J9" t="s">
        <v>46</v>
      </c>
      <c r="K9">
        <v>834</v>
      </c>
      <c r="L9" s="16">
        <v>107.36666666666667</v>
      </c>
      <c r="M9" s="16">
        <f t="shared" si="3"/>
        <v>11.303550000000001</v>
      </c>
      <c r="O9">
        <v>1361.536231884058</v>
      </c>
      <c r="P9">
        <v>514370</v>
      </c>
      <c r="Q9" s="2">
        <v>1054522</v>
      </c>
      <c r="R9" s="2">
        <v>2261797</v>
      </c>
      <c r="W9" s="11">
        <v>6.3535500000000003</v>
      </c>
      <c r="X9" s="11">
        <v>9.9000000000000005E-2</v>
      </c>
      <c r="Y9">
        <f>SIMULADOR!$G$8</f>
        <v>50</v>
      </c>
      <c r="AC9" t="str">
        <f>CONCATENATE(SIMULADOR!$D$8,base_!$AF$1)</f>
        <v>Cristalina (GO) - Santos (SP) [954 km]2</v>
      </c>
      <c r="AD9" t="str">
        <f>CONCATENATE(SIMULADOR!$D$8,base_!AF9)</f>
        <v>Cristalina (GO) - Santos (SP) [954 km]Julho</v>
      </c>
      <c r="AE9">
        <v>7</v>
      </c>
      <c r="AF9" t="s">
        <v>14</v>
      </c>
      <c r="AG9">
        <f t="shared" si="15"/>
        <v>5</v>
      </c>
      <c r="AH9">
        <f t="shared" si="6"/>
        <v>5</v>
      </c>
      <c r="AI9" s="16">
        <f>INDEX(preço_armazenagem!C:C,MATCH(base_!AH9,preço_armazenagem!A:A,0),1)</f>
        <v>45.723333333333336</v>
      </c>
      <c r="AJ9" s="16">
        <f t="shared" si="7"/>
        <v>161.47</v>
      </c>
      <c r="AK9" s="16">
        <f t="shared" si="8"/>
        <v>11.303550000000001</v>
      </c>
      <c r="AL9" s="16">
        <f t="shared" si="9"/>
        <v>10.583549999999999</v>
      </c>
      <c r="AM9" s="16">
        <v>35</v>
      </c>
      <c r="AN9" s="16">
        <f t="shared" si="10"/>
        <v>1457.7380952380952</v>
      </c>
      <c r="AO9" s="16">
        <f t="shared" si="16"/>
        <v>1204.2412119047617</v>
      </c>
      <c r="AP9" s="16">
        <f t="shared" si="11"/>
        <v>1081.1076447368421</v>
      </c>
      <c r="AQ9" s="16">
        <f t="shared" si="12"/>
        <v>123.13356716791964</v>
      </c>
      <c r="AR9" s="16">
        <f t="shared" si="13"/>
        <v>0</v>
      </c>
      <c r="AS9" s="16">
        <f t="shared" si="14"/>
        <v>123.13356716791964</v>
      </c>
    </row>
    <row r="10" spans="1:45" x14ac:dyDescent="0.25">
      <c r="A10">
        <v>9</v>
      </c>
      <c r="B10" t="str">
        <f t="shared" si="0"/>
        <v>Balsas (MA) - São Luís (MA) [834 km]9</v>
      </c>
      <c r="C10" t="str">
        <f t="shared" si="1"/>
        <v>Balsas (MA) - São Luís (MA) [834 km]Setembro</v>
      </c>
      <c r="D10">
        <v>9</v>
      </c>
      <c r="E10" t="s">
        <v>16</v>
      </c>
      <c r="F10" t="str">
        <f t="shared" si="2"/>
        <v>Balsas (MA) - São Luís (MA) [834 km]</v>
      </c>
      <c r="G10" t="s">
        <v>47</v>
      </c>
      <c r="H10" t="s">
        <v>46</v>
      </c>
      <c r="I10" t="s">
        <v>45</v>
      </c>
      <c r="J10" t="s">
        <v>46</v>
      </c>
      <c r="K10">
        <v>834</v>
      </c>
      <c r="L10" s="16">
        <v>99.5</v>
      </c>
      <c r="M10" s="16">
        <f t="shared" si="3"/>
        <v>11.003550000000001</v>
      </c>
      <c r="O10">
        <v>1324.9999999999998</v>
      </c>
      <c r="P10">
        <v>514370</v>
      </c>
      <c r="Q10" s="2">
        <v>1054522</v>
      </c>
      <c r="R10" s="2">
        <v>2261797</v>
      </c>
      <c r="W10" s="11">
        <v>6.3535500000000003</v>
      </c>
      <c r="X10" s="11">
        <v>9.2999999999999999E-2</v>
      </c>
      <c r="Y10">
        <f>SIMULADOR!$G$8</f>
        <v>50</v>
      </c>
      <c r="AC10" t="str">
        <f>CONCATENATE(SIMULADOR!$D$8,base_!$AF$1)</f>
        <v>Cristalina (GO) - Santos (SP) [954 km]2</v>
      </c>
      <c r="AD10" t="str">
        <f>CONCATENATE(SIMULADOR!$D$8,base_!AF10)</f>
        <v>Cristalina (GO) - Santos (SP) [954 km]Agosto</v>
      </c>
      <c r="AE10">
        <v>8</v>
      </c>
      <c r="AF10" t="s">
        <v>15</v>
      </c>
      <c r="AG10">
        <f t="shared" si="15"/>
        <v>6</v>
      </c>
      <c r="AH10">
        <f t="shared" si="6"/>
        <v>6</v>
      </c>
      <c r="AI10" s="16">
        <f>INDEX(preço_armazenagem!C:C,MATCH(base_!AH10,preço_armazenagem!A:A,0),1)</f>
        <v>50.386666666666677</v>
      </c>
      <c r="AJ10" s="16">
        <f t="shared" si="7"/>
        <v>153.63909999999998</v>
      </c>
      <c r="AK10" s="16">
        <f t="shared" si="8"/>
        <v>11.303550000000001</v>
      </c>
      <c r="AL10" s="16">
        <f t="shared" si="9"/>
        <v>11.303550000000001</v>
      </c>
      <c r="AM10" s="16">
        <v>35</v>
      </c>
      <c r="AN10" s="16">
        <f t="shared" si="10"/>
        <v>1361.536231884058</v>
      </c>
      <c r="AO10" s="16">
        <f t="shared" si="16"/>
        <v>1111.2069152173913</v>
      </c>
      <c r="AP10" s="16">
        <f t="shared" si="11"/>
        <v>1081.1076447368421</v>
      </c>
      <c r="AQ10" s="16">
        <f t="shared" si="12"/>
        <v>30.099270480549194</v>
      </c>
      <c r="AR10" s="16">
        <f t="shared" si="13"/>
        <v>0</v>
      </c>
      <c r="AS10" s="16">
        <f t="shared" si="14"/>
        <v>30.099270480549194</v>
      </c>
    </row>
    <row r="11" spans="1:45" x14ac:dyDescent="0.25">
      <c r="A11">
        <v>10</v>
      </c>
      <c r="B11" t="str">
        <f t="shared" si="0"/>
        <v>Balsas (MA) - São Luís (MA) [834 km]10</v>
      </c>
      <c r="C11" t="str">
        <f t="shared" si="1"/>
        <v>Balsas (MA) - São Luís (MA) [834 km]Outubro</v>
      </c>
      <c r="D11">
        <v>10</v>
      </c>
      <c r="E11" t="s">
        <v>17</v>
      </c>
      <c r="F11" t="str">
        <f t="shared" si="2"/>
        <v>Balsas (MA) - São Luís (MA) [834 km]</v>
      </c>
      <c r="G11" t="s">
        <v>47</v>
      </c>
      <c r="H11" t="s">
        <v>46</v>
      </c>
      <c r="I11" t="s">
        <v>45</v>
      </c>
      <c r="J11" t="s">
        <v>46</v>
      </c>
      <c r="K11">
        <v>834</v>
      </c>
      <c r="L11" s="16">
        <v>99.75</v>
      </c>
      <c r="M11" s="16">
        <f t="shared" si="3"/>
        <v>13.46855</v>
      </c>
      <c r="O11">
        <v>1278.3916666666667</v>
      </c>
      <c r="P11">
        <v>514370</v>
      </c>
      <c r="Q11" s="2">
        <v>1054522</v>
      </c>
      <c r="R11" s="2">
        <v>2261797</v>
      </c>
      <c r="W11" s="11">
        <v>6.3535500000000003</v>
      </c>
      <c r="X11" s="11">
        <v>0.14230000000000001</v>
      </c>
      <c r="Y11">
        <f>SIMULADOR!$G$8</f>
        <v>50</v>
      </c>
      <c r="AC11" t="str">
        <f>CONCATENATE(SIMULADOR!$D$8,base_!$AF$1)</f>
        <v>Cristalina (GO) - Santos (SP) [954 km]2</v>
      </c>
      <c r="AD11" t="str">
        <f>CONCATENATE(SIMULADOR!$D$8,base_!AF11)</f>
        <v>Cristalina (GO) - Santos (SP) [954 km]Setembro</v>
      </c>
      <c r="AE11">
        <v>9</v>
      </c>
      <c r="AF11" t="s">
        <v>16</v>
      </c>
      <c r="AG11">
        <f t="shared" si="15"/>
        <v>7</v>
      </c>
      <c r="AH11">
        <f t="shared" si="6"/>
        <v>7</v>
      </c>
      <c r="AI11" s="16">
        <f>INDEX(preço_armazenagem!C:C,MATCH(base_!AH11,preço_armazenagem!A:A,0),1)</f>
        <v>55.050000000000011</v>
      </c>
      <c r="AJ11" s="16">
        <f t="shared" si="7"/>
        <v>131.2593</v>
      </c>
      <c r="AK11" s="16">
        <f t="shared" si="8"/>
        <v>11.303550000000001</v>
      </c>
      <c r="AL11" s="16">
        <f t="shared" si="9"/>
        <v>11.003550000000001</v>
      </c>
      <c r="AM11" s="16">
        <v>35</v>
      </c>
      <c r="AN11" s="16">
        <f t="shared" si="10"/>
        <v>1324.9999999999998</v>
      </c>
      <c r="AO11" s="16">
        <f t="shared" si="16"/>
        <v>1092.3871499999998</v>
      </c>
      <c r="AP11" s="16">
        <f t="shared" si="11"/>
        <v>1081.1076447368421</v>
      </c>
      <c r="AQ11" s="16">
        <f t="shared" si="12"/>
        <v>11.279505263157716</v>
      </c>
      <c r="AR11" s="16">
        <f t="shared" si="13"/>
        <v>0</v>
      </c>
      <c r="AS11" s="16">
        <f t="shared" si="14"/>
        <v>11.279505263157716</v>
      </c>
    </row>
    <row r="12" spans="1:45" x14ac:dyDescent="0.25">
      <c r="A12">
        <v>11</v>
      </c>
      <c r="B12" t="str">
        <f t="shared" si="0"/>
        <v>Balsas (MA) - São Luís (MA) [834 km]11</v>
      </c>
      <c r="C12" t="str">
        <f t="shared" si="1"/>
        <v>Balsas (MA) - São Luís (MA) [834 km]Novembro</v>
      </c>
      <c r="D12">
        <v>11</v>
      </c>
      <c r="E12" t="s">
        <v>18</v>
      </c>
      <c r="F12" t="str">
        <f t="shared" si="2"/>
        <v>Balsas (MA) - São Luís (MA) [834 km]</v>
      </c>
      <c r="G12" t="s">
        <v>47</v>
      </c>
      <c r="H12" t="s">
        <v>46</v>
      </c>
      <c r="I12" t="s">
        <v>45</v>
      </c>
      <c r="J12" t="s">
        <v>46</v>
      </c>
      <c r="K12">
        <v>834</v>
      </c>
      <c r="L12" s="16">
        <v>105</v>
      </c>
      <c r="M12" s="16">
        <f t="shared" si="3"/>
        <v>12.80855</v>
      </c>
      <c r="O12">
        <v>1304.5416666666667</v>
      </c>
      <c r="P12">
        <v>514370</v>
      </c>
      <c r="Q12" s="2">
        <v>1054522</v>
      </c>
      <c r="R12" s="2">
        <v>2261797</v>
      </c>
      <c r="W12" s="11">
        <v>6.3535500000000003</v>
      </c>
      <c r="X12" s="11">
        <v>0.12909999999999999</v>
      </c>
      <c r="Y12">
        <f>SIMULADOR!$G$8</f>
        <v>50</v>
      </c>
      <c r="AC12" t="str">
        <f>CONCATENATE(SIMULADOR!$D$8,base_!$AF$1)</f>
        <v>Cristalina (GO) - Santos (SP) [954 km]2</v>
      </c>
      <c r="AD12" t="str">
        <f>CONCATENATE(SIMULADOR!$D$8,base_!AF12)</f>
        <v>Cristalina (GO) - Santos (SP) [954 km]Outubro</v>
      </c>
      <c r="AE12">
        <v>10</v>
      </c>
      <c r="AF12" t="s">
        <v>17</v>
      </c>
      <c r="AG12">
        <f t="shared" si="15"/>
        <v>8</v>
      </c>
      <c r="AH12">
        <f t="shared" si="6"/>
        <v>8</v>
      </c>
      <c r="AI12" s="16">
        <f>INDEX(preço_armazenagem!C:C,MATCH(base_!AH12,preço_armazenagem!A:A,0),1)</f>
        <v>59.713333333333345</v>
      </c>
      <c r="AJ12" s="16">
        <f t="shared" si="7"/>
        <v>117</v>
      </c>
      <c r="AK12" s="16">
        <f t="shared" si="8"/>
        <v>11.303550000000001</v>
      </c>
      <c r="AL12" s="16">
        <f t="shared" si="9"/>
        <v>13.46855</v>
      </c>
      <c r="AM12" s="16">
        <v>35</v>
      </c>
      <c r="AN12" s="16">
        <f t="shared" si="10"/>
        <v>1278.3916666666667</v>
      </c>
      <c r="AO12" s="16">
        <f t="shared" si="16"/>
        <v>1055.3747833333332</v>
      </c>
      <c r="AP12" s="16">
        <f t="shared" si="11"/>
        <v>1081.1076447368421</v>
      </c>
      <c r="AQ12" s="16">
        <f t="shared" si="12"/>
        <v>-25.732861403508878</v>
      </c>
      <c r="AR12" s="16">
        <f t="shared" si="13"/>
        <v>-25.732861403508878</v>
      </c>
      <c r="AS12" s="16">
        <f t="shared" si="14"/>
        <v>0</v>
      </c>
    </row>
    <row r="13" spans="1:45" x14ac:dyDescent="0.25">
      <c r="A13">
        <v>12</v>
      </c>
      <c r="B13" t="str">
        <f t="shared" si="0"/>
        <v>Balsas (MA) - São Luís (MA) [834 km]12</v>
      </c>
      <c r="C13" t="str">
        <f t="shared" si="1"/>
        <v>Balsas (MA) - São Luís (MA) [834 km]Dezembro</v>
      </c>
      <c r="D13">
        <v>12</v>
      </c>
      <c r="E13" t="s">
        <v>19</v>
      </c>
      <c r="F13" t="str">
        <f t="shared" si="2"/>
        <v>Balsas (MA) - São Luís (MA) [834 km]</v>
      </c>
      <c r="G13" t="s">
        <v>47</v>
      </c>
      <c r="H13" t="s">
        <v>46</v>
      </c>
      <c r="I13" t="s">
        <v>45</v>
      </c>
      <c r="J13" t="s">
        <v>46</v>
      </c>
      <c r="K13">
        <v>834</v>
      </c>
      <c r="L13" s="16">
        <v>110</v>
      </c>
      <c r="M13" s="16">
        <f t="shared" si="3"/>
        <v>12.378550000000001</v>
      </c>
      <c r="O13">
        <v>1307.1507936507937</v>
      </c>
      <c r="P13">
        <v>514370</v>
      </c>
      <c r="Q13" s="2">
        <v>1054522</v>
      </c>
      <c r="R13" s="2">
        <v>2261797</v>
      </c>
      <c r="W13" s="11">
        <v>6.3535500000000003</v>
      </c>
      <c r="X13" s="11">
        <v>0.1205</v>
      </c>
      <c r="Y13">
        <f>SIMULADOR!$G$8</f>
        <v>50</v>
      </c>
      <c r="AC13" t="str">
        <f>CONCATENATE(SIMULADOR!$D$8,base_!$AF$1)</f>
        <v>Cristalina (GO) - Santos (SP) [954 km]2</v>
      </c>
      <c r="AD13" t="str">
        <f>CONCATENATE(SIMULADOR!$D$8,base_!AF13)</f>
        <v>Cristalina (GO) - Santos (SP) [954 km]Novembro</v>
      </c>
      <c r="AE13">
        <v>11</v>
      </c>
      <c r="AF13" t="s">
        <v>18</v>
      </c>
      <c r="AG13">
        <f t="shared" si="15"/>
        <v>9</v>
      </c>
      <c r="AH13">
        <f t="shared" si="6"/>
        <v>9</v>
      </c>
      <c r="AI13" s="16">
        <f>INDEX(preço_armazenagem!C:C,MATCH(base_!AH13,preço_armazenagem!A:A,0),1)</f>
        <v>64.376666666666679</v>
      </c>
      <c r="AJ13" s="16">
        <f t="shared" si="7"/>
        <v>107.6</v>
      </c>
      <c r="AK13" s="16">
        <f t="shared" si="8"/>
        <v>11.303550000000001</v>
      </c>
      <c r="AL13" s="16">
        <f t="shared" si="9"/>
        <v>12.80855</v>
      </c>
      <c r="AM13" s="16">
        <v>35</v>
      </c>
      <c r="AN13" s="16">
        <f t="shared" si="10"/>
        <v>1304.5416666666667</v>
      </c>
      <c r="AO13" s="16">
        <f t="shared" si="16"/>
        <v>1086.26145</v>
      </c>
      <c r="AP13" s="16">
        <f t="shared" si="11"/>
        <v>1081.1076447368421</v>
      </c>
      <c r="AQ13" s="16">
        <f t="shared" si="12"/>
        <v>5.1538052631578921</v>
      </c>
      <c r="AR13" s="16">
        <f t="shared" si="13"/>
        <v>0</v>
      </c>
      <c r="AS13" s="16">
        <f t="shared" si="14"/>
        <v>5.1538052631578921</v>
      </c>
    </row>
    <row r="14" spans="1:45" x14ac:dyDescent="0.25">
      <c r="A14">
        <v>13</v>
      </c>
      <c r="B14" t="str">
        <f t="shared" si="0"/>
        <v>Colíder (MT) - Santos (SP) [2430 km]1</v>
      </c>
      <c r="C14" t="str">
        <f t="shared" si="1"/>
        <v>Colíder (MT) - Santos (SP) [2430 km]Janeiro</v>
      </c>
      <c r="D14">
        <v>1</v>
      </c>
      <c r="E14" t="s">
        <v>9</v>
      </c>
      <c r="F14" t="str">
        <f>CONCATENATE(G14," (",H14,") - ",I14," (",J14,") [",K14," km]")</f>
        <v>Colíder (MT) - Santos (SP) [2430 km]</v>
      </c>
      <c r="G14" t="s">
        <v>49</v>
      </c>
      <c r="H14" t="s">
        <v>37</v>
      </c>
      <c r="I14" t="s">
        <v>42</v>
      </c>
      <c r="J14" t="s">
        <v>43</v>
      </c>
      <c r="K14">
        <v>2430</v>
      </c>
      <c r="L14" s="16">
        <v>343.07</v>
      </c>
      <c r="M14" s="16">
        <f t="shared" si="3"/>
        <v>10.583549999999999</v>
      </c>
      <c r="O14">
        <v>1379.1000000000001</v>
      </c>
      <c r="P14">
        <v>38065</v>
      </c>
      <c r="Q14" s="2">
        <v>403844</v>
      </c>
      <c r="R14" s="2">
        <v>30245425</v>
      </c>
      <c r="W14" s="11">
        <v>6.3535500000000003</v>
      </c>
      <c r="X14" s="11">
        <v>8.4599999999999995E-2</v>
      </c>
      <c r="Y14">
        <f>SIMULADOR!$G$8</f>
        <v>50</v>
      </c>
      <c r="AC14" t="str">
        <f>CONCATENATE(SIMULADOR!$D$8,base_!$AF$1)</f>
        <v>Cristalina (GO) - Santos (SP) [954 km]2</v>
      </c>
      <c r="AD14" t="str">
        <f>CONCATENATE(SIMULADOR!$D$8,base_!AF14)</f>
        <v>Cristalina (GO) - Santos (SP) [954 km]Dezembro</v>
      </c>
      <c r="AE14">
        <v>12</v>
      </c>
      <c r="AF14" t="s">
        <v>19</v>
      </c>
      <c r="AG14">
        <f t="shared" si="15"/>
        <v>10</v>
      </c>
      <c r="AH14">
        <f t="shared" si="6"/>
        <v>10</v>
      </c>
      <c r="AI14" s="16">
        <f>INDEX(preço_armazenagem!C:C,MATCH(base_!AH14,preço_armazenagem!A:A,0),1)</f>
        <v>69.04000000000002</v>
      </c>
      <c r="AJ14" s="16">
        <f t="shared" si="7"/>
        <v>108.5</v>
      </c>
      <c r="AK14" s="16">
        <f t="shared" si="8"/>
        <v>11.303550000000001</v>
      </c>
      <c r="AL14" s="16">
        <f t="shared" si="9"/>
        <v>12.378550000000001</v>
      </c>
      <c r="AM14" s="16">
        <v>35</v>
      </c>
      <c r="AN14" s="16">
        <f t="shared" si="10"/>
        <v>1307.1507936507937</v>
      </c>
      <c r="AO14" s="16">
        <f t="shared" si="16"/>
        <v>1083.3072436507937</v>
      </c>
      <c r="AP14" s="16">
        <f t="shared" si="11"/>
        <v>1081.1076447368421</v>
      </c>
      <c r="AQ14" s="16">
        <f t="shared" si="12"/>
        <v>2.1995989139516041</v>
      </c>
      <c r="AR14" s="16">
        <f t="shared" si="13"/>
        <v>0</v>
      </c>
      <c r="AS14" s="16">
        <f t="shared" si="14"/>
        <v>2.1995989139516041</v>
      </c>
    </row>
    <row r="15" spans="1:45" x14ac:dyDescent="0.25">
      <c r="A15">
        <v>14</v>
      </c>
      <c r="B15" t="str">
        <f t="shared" si="0"/>
        <v>Colíder (MT) - Santos (SP) [2430 km]2</v>
      </c>
      <c r="C15" t="str">
        <f t="shared" si="1"/>
        <v>Colíder (MT) - Santos (SP) [2430 km]Fevereiro</v>
      </c>
      <c r="D15">
        <v>2</v>
      </c>
      <c r="E15" t="s">
        <v>7</v>
      </c>
      <c r="F15" t="str">
        <f t="shared" ref="F15:F25" si="17">CONCATENATE(G15," (",H15,") - ",I15," (",J15,") [",K15," km]")</f>
        <v>Colíder (MT) - Santos (SP) [2430 km]</v>
      </c>
      <c r="G15" t="s">
        <v>49</v>
      </c>
      <c r="H15" t="s">
        <v>37</v>
      </c>
      <c r="I15" t="s">
        <v>42</v>
      </c>
      <c r="J15" t="s">
        <v>43</v>
      </c>
      <c r="K15">
        <v>2430</v>
      </c>
      <c r="L15" s="16">
        <v>332.35199999999998</v>
      </c>
      <c r="M15" s="16">
        <f t="shared" si="3"/>
        <v>11.303550000000001</v>
      </c>
      <c r="O15">
        <v>1297.1578947368421</v>
      </c>
      <c r="P15">
        <v>38065</v>
      </c>
      <c r="Q15" s="2">
        <v>403844</v>
      </c>
      <c r="R15" s="2">
        <v>30245425</v>
      </c>
      <c r="W15" s="11">
        <v>6.3535500000000003</v>
      </c>
      <c r="X15" s="11">
        <v>9.9000000000000005E-2</v>
      </c>
      <c r="Y15">
        <f>SIMULADOR!$G$8</f>
        <v>50</v>
      </c>
    </row>
    <row r="16" spans="1:45" x14ac:dyDescent="0.25">
      <c r="A16">
        <v>15</v>
      </c>
      <c r="B16" t="str">
        <f t="shared" si="0"/>
        <v>Colíder (MT) - Santos (SP) [2430 km]3</v>
      </c>
      <c r="C16" t="str">
        <f t="shared" si="1"/>
        <v>Colíder (MT) - Santos (SP) [2430 km]Março</v>
      </c>
      <c r="D16">
        <v>3</v>
      </c>
      <c r="E16" t="s">
        <v>10</v>
      </c>
      <c r="F16" t="str">
        <f t="shared" si="17"/>
        <v>Colíder (MT) - Santos (SP) [2430 km]</v>
      </c>
      <c r="G16" t="s">
        <v>49</v>
      </c>
      <c r="H16" t="s">
        <v>37</v>
      </c>
      <c r="I16" t="s">
        <v>42</v>
      </c>
      <c r="J16" t="s">
        <v>43</v>
      </c>
      <c r="K16">
        <v>2430</v>
      </c>
      <c r="L16" s="16">
        <v>326.96199999999999</v>
      </c>
      <c r="M16" s="16">
        <f t="shared" si="3"/>
        <v>11.003550000000001</v>
      </c>
      <c r="O16">
        <v>1242.1287878787878</v>
      </c>
      <c r="P16">
        <v>38065</v>
      </c>
      <c r="Q16" s="2">
        <v>403844</v>
      </c>
      <c r="R16" s="2">
        <v>30245425</v>
      </c>
      <c r="W16" s="11">
        <v>6.3535500000000003</v>
      </c>
      <c r="X16" s="11">
        <v>9.2999999999999999E-2</v>
      </c>
      <c r="Y16">
        <f>SIMULADOR!$G$8</f>
        <v>50</v>
      </c>
    </row>
    <row r="17" spans="1:25" x14ac:dyDescent="0.25">
      <c r="A17">
        <v>16</v>
      </c>
      <c r="B17" t="str">
        <f t="shared" si="0"/>
        <v>Colíder (MT) - Santos (SP) [2430 km]4</v>
      </c>
      <c r="C17" t="str">
        <f t="shared" si="1"/>
        <v>Colíder (MT) - Santos (SP) [2430 km]Abril</v>
      </c>
      <c r="D17">
        <v>4</v>
      </c>
      <c r="E17" t="s">
        <v>11</v>
      </c>
      <c r="F17" t="str">
        <f t="shared" si="17"/>
        <v>Colíder (MT) - Santos (SP) [2430 km]</v>
      </c>
      <c r="G17" t="s">
        <v>49</v>
      </c>
      <c r="H17" t="s">
        <v>37</v>
      </c>
      <c r="I17" t="s">
        <v>42</v>
      </c>
      <c r="J17" t="s">
        <v>43</v>
      </c>
      <c r="K17">
        <v>2430</v>
      </c>
      <c r="L17" s="16">
        <v>328.58050000000003</v>
      </c>
      <c r="M17" s="16">
        <f t="shared" si="3"/>
        <v>13.46855</v>
      </c>
      <c r="O17">
        <v>1300.7083333333335</v>
      </c>
      <c r="P17">
        <v>38065</v>
      </c>
      <c r="Q17" s="2">
        <v>403844</v>
      </c>
      <c r="R17" s="2">
        <v>30245425</v>
      </c>
      <c r="W17" s="11">
        <v>6.3535500000000003</v>
      </c>
      <c r="X17" s="11">
        <v>0.14230000000000001</v>
      </c>
      <c r="Y17">
        <f>SIMULADOR!$G$8</f>
        <v>50</v>
      </c>
    </row>
    <row r="18" spans="1:25" x14ac:dyDescent="0.25">
      <c r="A18">
        <v>17</v>
      </c>
      <c r="B18" t="str">
        <f t="shared" si="0"/>
        <v>Colíder (MT) - Santos (SP) [2430 km]5</v>
      </c>
      <c r="C18" t="str">
        <f t="shared" si="1"/>
        <v>Colíder (MT) - Santos (SP) [2430 km]Maio</v>
      </c>
      <c r="D18">
        <v>5</v>
      </c>
      <c r="E18" t="s">
        <v>12</v>
      </c>
      <c r="F18" t="str">
        <f t="shared" si="17"/>
        <v>Colíder (MT) - Santos (SP) [2430 km]</v>
      </c>
      <c r="G18" t="s">
        <v>49</v>
      </c>
      <c r="H18" t="s">
        <v>37</v>
      </c>
      <c r="I18" t="s">
        <v>42</v>
      </c>
      <c r="J18" t="s">
        <v>43</v>
      </c>
      <c r="K18">
        <v>2430</v>
      </c>
      <c r="L18" s="16">
        <v>302.41250000000002</v>
      </c>
      <c r="M18" s="16">
        <f t="shared" si="3"/>
        <v>12.80855</v>
      </c>
      <c r="O18">
        <v>1440.4206349206347</v>
      </c>
      <c r="P18">
        <v>38065</v>
      </c>
      <c r="Q18" s="2">
        <v>403844</v>
      </c>
      <c r="R18" s="2">
        <v>30245425</v>
      </c>
      <c r="W18" s="11">
        <v>6.3535500000000003</v>
      </c>
      <c r="X18" s="11">
        <v>0.12909999999999999</v>
      </c>
      <c r="Y18">
        <f>SIMULADOR!$G$8</f>
        <v>50</v>
      </c>
    </row>
    <row r="19" spans="1:25" x14ac:dyDescent="0.25">
      <c r="A19">
        <v>18</v>
      </c>
      <c r="B19" t="str">
        <f t="shared" si="0"/>
        <v>Colíder (MT) - Santos (SP) [2430 km]6</v>
      </c>
      <c r="C19" t="str">
        <f t="shared" si="1"/>
        <v>Colíder (MT) - Santos (SP) [2430 km]Junho</v>
      </c>
      <c r="D19">
        <v>6</v>
      </c>
      <c r="E19" t="s">
        <v>13</v>
      </c>
      <c r="F19" t="str">
        <f t="shared" si="17"/>
        <v>Colíder (MT) - Santos (SP) [2430 km]</v>
      </c>
      <c r="G19" t="s">
        <v>49</v>
      </c>
      <c r="H19" t="s">
        <v>37</v>
      </c>
      <c r="I19" t="s">
        <v>42</v>
      </c>
      <c r="J19" t="s">
        <v>43</v>
      </c>
      <c r="K19">
        <v>2430</v>
      </c>
      <c r="L19" s="16">
        <v>293.22950000000003</v>
      </c>
      <c r="M19" s="16">
        <f t="shared" si="3"/>
        <v>12.378550000000001</v>
      </c>
      <c r="O19">
        <v>1586.4696969696972</v>
      </c>
      <c r="P19">
        <v>38065</v>
      </c>
      <c r="Q19" s="2">
        <v>403844</v>
      </c>
      <c r="R19" s="2">
        <v>30245425</v>
      </c>
      <c r="W19" s="11">
        <v>6.3535500000000003</v>
      </c>
      <c r="X19" s="11">
        <v>0.1205</v>
      </c>
      <c r="Y19">
        <f>SIMULADOR!$G$8</f>
        <v>50</v>
      </c>
    </row>
    <row r="20" spans="1:25" x14ac:dyDescent="0.25">
      <c r="A20">
        <v>19</v>
      </c>
      <c r="B20" t="str">
        <f t="shared" si="0"/>
        <v>Colíder (MT) - Santos (SP) [2430 km]7</v>
      </c>
      <c r="C20" t="str">
        <f t="shared" si="1"/>
        <v>Colíder (MT) - Santos (SP) [2430 km]Julho</v>
      </c>
      <c r="D20">
        <v>7</v>
      </c>
      <c r="E20" t="s">
        <v>14</v>
      </c>
      <c r="F20" t="str">
        <f t="shared" si="17"/>
        <v>Colíder (MT) - Santos (SP) [2430 km]</v>
      </c>
      <c r="G20" t="s">
        <v>49</v>
      </c>
      <c r="H20" t="s">
        <v>37</v>
      </c>
      <c r="I20" t="s">
        <v>42</v>
      </c>
      <c r="J20" t="s">
        <v>43</v>
      </c>
      <c r="K20">
        <v>2430</v>
      </c>
      <c r="L20" s="16">
        <v>292.75099999999998</v>
      </c>
      <c r="M20" s="16">
        <f t="shared" si="3"/>
        <v>10.583549999999999</v>
      </c>
      <c r="O20">
        <v>1457.7380952380952</v>
      </c>
      <c r="P20">
        <v>38065</v>
      </c>
      <c r="Q20" s="2">
        <v>403844</v>
      </c>
      <c r="R20" s="2">
        <v>30245425</v>
      </c>
      <c r="W20" s="11">
        <v>6.3535500000000003</v>
      </c>
      <c r="X20" s="11">
        <v>8.4599999999999995E-2</v>
      </c>
      <c r="Y20">
        <f>SIMULADOR!$G$8</f>
        <v>50</v>
      </c>
    </row>
    <row r="21" spans="1:25" x14ac:dyDescent="0.25">
      <c r="A21">
        <v>20</v>
      </c>
      <c r="B21" t="str">
        <f t="shared" si="0"/>
        <v>Colíder (MT) - Santos (SP) [2430 km]8</v>
      </c>
      <c r="C21" t="str">
        <f t="shared" si="1"/>
        <v>Colíder (MT) - Santos (SP) [2430 km]Agosto</v>
      </c>
      <c r="D21">
        <v>8</v>
      </c>
      <c r="E21" t="s">
        <v>15</v>
      </c>
      <c r="F21" t="str">
        <f t="shared" si="17"/>
        <v>Colíder (MT) - Santos (SP) [2430 km]</v>
      </c>
      <c r="G21" t="s">
        <v>49</v>
      </c>
      <c r="H21" t="s">
        <v>37</v>
      </c>
      <c r="I21" t="s">
        <v>42</v>
      </c>
      <c r="J21" t="s">
        <v>43</v>
      </c>
      <c r="K21">
        <v>2430</v>
      </c>
      <c r="L21" s="16">
        <v>286.1225</v>
      </c>
      <c r="M21" s="16">
        <f t="shared" si="3"/>
        <v>11.303550000000001</v>
      </c>
      <c r="O21">
        <v>1361.536231884058</v>
      </c>
      <c r="P21">
        <v>38065</v>
      </c>
      <c r="Q21" s="2">
        <v>403844</v>
      </c>
      <c r="R21" s="2">
        <v>30245425</v>
      </c>
      <c r="W21" s="11">
        <v>6.3535500000000003</v>
      </c>
      <c r="X21" s="11">
        <v>9.9000000000000005E-2</v>
      </c>
      <c r="Y21">
        <f>SIMULADOR!$G$8</f>
        <v>50</v>
      </c>
    </row>
    <row r="22" spans="1:25" x14ac:dyDescent="0.25">
      <c r="A22">
        <v>21</v>
      </c>
      <c r="B22" t="str">
        <f t="shared" si="0"/>
        <v>Colíder (MT) - Santos (SP) [2430 km]9</v>
      </c>
      <c r="C22" t="str">
        <f t="shared" si="1"/>
        <v>Colíder (MT) - Santos (SP) [2430 km]Setembro</v>
      </c>
      <c r="D22">
        <v>9</v>
      </c>
      <c r="E22" t="s">
        <v>16</v>
      </c>
      <c r="F22" t="str">
        <f t="shared" si="17"/>
        <v>Colíder (MT) - Santos (SP) [2430 km]</v>
      </c>
      <c r="G22" t="s">
        <v>49</v>
      </c>
      <c r="H22" t="s">
        <v>37</v>
      </c>
      <c r="I22" t="s">
        <v>42</v>
      </c>
      <c r="J22" t="s">
        <v>43</v>
      </c>
      <c r="K22">
        <v>2430</v>
      </c>
      <c r="L22" s="16">
        <v>274.75299999999999</v>
      </c>
      <c r="M22" s="16">
        <f t="shared" si="3"/>
        <v>11.003550000000001</v>
      </c>
      <c r="O22">
        <v>1324.9999999999998</v>
      </c>
      <c r="P22">
        <v>38065</v>
      </c>
      <c r="Q22" s="2">
        <v>403844</v>
      </c>
      <c r="R22" s="2">
        <v>30245425</v>
      </c>
      <c r="W22" s="11">
        <v>6.3535500000000003</v>
      </c>
      <c r="X22" s="11">
        <v>9.2999999999999999E-2</v>
      </c>
      <c r="Y22">
        <f>SIMULADOR!$G$8</f>
        <v>50</v>
      </c>
    </row>
    <row r="23" spans="1:25" x14ac:dyDescent="0.25">
      <c r="A23">
        <v>22</v>
      </c>
      <c r="B23" t="str">
        <f t="shared" si="0"/>
        <v>Colíder (MT) - Santos (SP) [2430 km]10</v>
      </c>
      <c r="C23" t="str">
        <f t="shared" si="1"/>
        <v>Colíder (MT) - Santos (SP) [2430 km]Outubro</v>
      </c>
      <c r="D23">
        <v>10</v>
      </c>
      <c r="E23" t="s">
        <v>17</v>
      </c>
      <c r="F23" t="str">
        <f t="shared" si="17"/>
        <v>Colíder (MT) - Santos (SP) [2430 km]</v>
      </c>
      <c r="G23" t="s">
        <v>49</v>
      </c>
      <c r="H23" t="s">
        <v>37</v>
      </c>
      <c r="I23" t="s">
        <v>42</v>
      </c>
      <c r="J23" t="s">
        <v>43</v>
      </c>
      <c r="K23">
        <v>2430</v>
      </c>
      <c r="L23" s="16">
        <v>269.21100000000001</v>
      </c>
      <c r="M23" s="16">
        <f t="shared" si="3"/>
        <v>13.46855</v>
      </c>
      <c r="O23">
        <v>1278.3916666666667</v>
      </c>
      <c r="P23">
        <v>38065</v>
      </c>
      <c r="Q23" s="2">
        <v>403844</v>
      </c>
      <c r="R23" s="2">
        <v>30245425</v>
      </c>
      <c r="W23" s="11">
        <v>6.3535500000000003</v>
      </c>
      <c r="X23" s="11">
        <v>0.14230000000000001</v>
      </c>
      <c r="Y23">
        <f>SIMULADOR!$G$8</f>
        <v>50</v>
      </c>
    </row>
    <row r="24" spans="1:25" x14ac:dyDescent="0.25">
      <c r="A24">
        <v>23</v>
      </c>
      <c r="B24" t="str">
        <f t="shared" si="0"/>
        <v>Colíder (MT) - Santos (SP) [2430 km]11</v>
      </c>
      <c r="C24" t="str">
        <f t="shared" si="1"/>
        <v>Colíder (MT) - Santos (SP) [2430 km]Novembro</v>
      </c>
      <c r="D24">
        <v>11</v>
      </c>
      <c r="E24" t="s">
        <v>18</v>
      </c>
      <c r="F24" t="str">
        <f t="shared" si="17"/>
        <v>Colíder (MT) - Santos (SP) [2430 km]</v>
      </c>
      <c r="G24" t="s">
        <v>49</v>
      </c>
      <c r="H24" t="s">
        <v>37</v>
      </c>
      <c r="I24" t="s">
        <v>42</v>
      </c>
      <c r="J24" t="s">
        <v>43</v>
      </c>
      <c r="K24">
        <v>2430</v>
      </c>
      <c r="L24" s="16">
        <v>255.39599999999999</v>
      </c>
      <c r="M24" s="16">
        <f t="shared" si="3"/>
        <v>12.80855</v>
      </c>
      <c r="O24">
        <v>1304.5416666666667</v>
      </c>
      <c r="P24">
        <v>38065</v>
      </c>
      <c r="Q24" s="2">
        <v>403844</v>
      </c>
      <c r="R24" s="2">
        <v>30245425</v>
      </c>
      <c r="W24" s="11">
        <v>6.3535500000000003</v>
      </c>
      <c r="X24" s="11">
        <v>0.12909999999999999</v>
      </c>
      <c r="Y24">
        <f>SIMULADOR!$G$8</f>
        <v>50</v>
      </c>
    </row>
    <row r="25" spans="1:25" x14ac:dyDescent="0.25">
      <c r="A25">
        <v>24</v>
      </c>
      <c r="B25" t="str">
        <f t="shared" si="0"/>
        <v>Colíder (MT) - Santos (SP) [2430 km]12</v>
      </c>
      <c r="C25" t="str">
        <f t="shared" si="1"/>
        <v>Colíder (MT) - Santos (SP) [2430 km]Dezembro</v>
      </c>
      <c r="D25">
        <v>12</v>
      </c>
      <c r="E25" t="s">
        <v>19</v>
      </c>
      <c r="F25" t="str">
        <f t="shared" si="17"/>
        <v>Colíder (MT) - Santos (SP) [2430 km]</v>
      </c>
      <c r="G25" t="s">
        <v>49</v>
      </c>
      <c r="H25" t="s">
        <v>37</v>
      </c>
      <c r="I25" t="s">
        <v>42</v>
      </c>
      <c r="J25" t="s">
        <v>43</v>
      </c>
      <c r="K25">
        <v>2430</v>
      </c>
      <c r="L25" s="16">
        <v>235</v>
      </c>
      <c r="M25" s="16">
        <f t="shared" si="3"/>
        <v>12.378550000000001</v>
      </c>
      <c r="O25">
        <v>1307.1507936507937</v>
      </c>
      <c r="P25">
        <v>38065</v>
      </c>
      <c r="Q25" s="2">
        <v>403844</v>
      </c>
      <c r="R25" s="2">
        <v>30245425</v>
      </c>
      <c r="W25" s="11">
        <v>6.3535500000000003</v>
      </c>
      <c r="X25" s="11">
        <v>0.1205</v>
      </c>
      <c r="Y25">
        <f>SIMULADOR!$G$8</f>
        <v>50</v>
      </c>
    </row>
    <row r="26" spans="1:25" x14ac:dyDescent="0.25">
      <c r="A26">
        <v>25</v>
      </c>
      <c r="B26" t="str">
        <f t="shared" si="0"/>
        <v>Cristalina (GO) - Santos (SP) [954 km]1</v>
      </c>
      <c r="C26" t="str">
        <f t="shared" si="1"/>
        <v>Cristalina (GO) - Santos (SP) [954 km]Janeiro</v>
      </c>
      <c r="D26">
        <v>1</v>
      </c>
      <c r="E26" t="s">
        <v>9</v>
      </c>
      <c r="F26" t="str">
        <f>CONCATENATE(G26," (",H26,") - ",I26," (",J26,") [",K26," km]")</f>
        <v>Cristalina (GO) - Santos (SP) [954 km]</v>
      </c>
      <c r="G26" t="s">
        <v>50</v>
      </c>
      <c r="H26" t="s">
        <v>44</v>
      </c>
      <c r="I26" t="s">
        <v>42</v>
      </c>
      <c r="J26" t="s">
        <v>43</v>
      </c>
      <c r="K26">
        <v>954</v>
      </c>
      <c r="L26" s="16">
        <v>172.24</v>
      </c>
      <c r="M26" s="16">
        <f t="shared" si="3"/>
        <v>10.583549999999999</v>
      </c>
      <c r="O26">
        <v>1379.1000000000001</v>
      </c>
      <c r="P26">
        <v>584152</v>
      </c>
      <c r="Q26" s="2">
        <v>1206255</v>
      </c>
      <c r="R26" s="2">
        <v>12626343</v>
      </c>
      <c r="W26" s="11">
        <v>6.3535500000000003</v>
      </c>
      <c r="X26" s="11">
        <v>8.4599999999999995E-2</v>
      </c>
      <c r="Y26">
        <f>SIMULADOR!$G$8</f>
        <v>50</v>
      </c>
    </row>
    <row r="27" spans="1:25" x14ac:dyDescent="0.25">
      <c r="A27">
        <v>26</v>
      </c>
      <c r="B27" t="str">
        <f t="shared" si="0"/>
        <v>Cristalina (GO) - Santos (SP) [954 km]2</v>
      </c>
      <c r="C27" t="str">
        <f t="shared" si="1"/>
        <v>Cristalina (GO) - Santos (SP) [954 km]Fevereiro</v>
      </c>
      <c r="D27">
        <v>2</v>
      </c>
      <c r="E27" t="s">
        <v>7</v>
      </c>
      <c r="F27" t="str">
        <f t="shared" ref="F27:F37" si="18">CONCATENATE(G27," (",H27,") - ",I27," (",J27,") [",K27," km]")</f>
        <v>Cristalina (GO) - Santos (SP) [954 km]</v>
      </c>
      <c r="G27" t="s">
        <v>50</v>
      </c>
      <c r="H27" t="s">
        <v>44</v>
      </c>
      <c r="I27" t="s">
        <v>42</v>
      </c>
      <c r="J27" t="s">
        <v>43</v>
      </c>
      <c r="K27">
        <v>954</v>
      </c>
      <c r="L27" s="16">
        <v>169.7467</v>
      </c>
      <c r="M27" s="16">
        <f t="shared" si="3"/>
        <v>11.303550000000001</v>
      </c>
      <c r="O27">
        <v>1297.1578947368421</v>
      </c>
      <c r="P27">
        <v>584152</v>
      </c>
      <c r="Q27" s="2">
        <v>1206255</v>
      </c>
      <c r="R27" s="2">
        <v>12626343</v>
      </c>
      <c r="W27" s="11">
        <v>6.3535500000000003</v>
      </c>
      <c r="X27" s="11">
        <v>9.9000000000000005E-2</v>
      </c>
      <c r="Y27">
        <f>SIMULADOR!$G$8</f>
        <v>50</v>
      </c>
    </row>
    <row r="28" spans="1:25" x14ac:dyDescent="0.25">
      <c r="A28">
        <v>27</v>
      </c>
      <c r="B28" t="str">
        <f t="shared" si="0"/>
        <v>Cristalina (GO) - Santos (SP) [954 km]3</v>
      </c>
      <c r="C28" t="str">
        <f t="shared" si="1"/>
        <v>Cristalina (GO) - Santos (SP) [954 km]Março</v>
      </c>
      <c r="D28">
        <v>3</v>
      </c>
      <c r="E28" t="s">
        <v>10</v>
      </c>
      <c r="F28" t="str">
        <f t="shared" si="18"/>
        <v>Cristalina (GO) - Santos (SP) [954 km]</v>
      </c>
      <c r="G28" t="s">
        <v>50</v>
      </c>
      <c r="H28" t="s">
        <v>44</v>
      </c>
      <c r="I28" t="s">
        <v>42</v>
      </c>
      <c r="J28" t="s">
        <v>43</v>
      </c>
      <c r="K28">
        <v>954</v>
      </c>
      <c r="L28" s="16">
        <v>189.2</v>
      </c>
      <c r="M28" s="16">
        <f t="shared" si="3"/>
        <v>11.003550000000001</v>
      </c>
      <c r="O28">
        <v>1242.1287878787878</v>
      </c>
      <c r="P28">
        <v>584152</v>
      </c>
      <c r="Q28" s="2">
        <v>1206255</v>
      </c>
      <c r="R28" s="2">
        <v>12626343</v>
      </c>
      <c r="W28" s="11">
        <v>6.3535500000000003</v>
      </c>
      <c r="X28" s="11">
        <v>9.2999999999999999E-2</v>
      </c>
      <c r="Y28">
        <f>SIMULADOR!$G$8</f>
        <v>50</v>
      </c>
    </row>
    <row r="29" spans="1:25" x14ac:dyDescent="0.25">
      <c r="A29">
        <v>28</v>
      </c>
      <c r="B29" t="str">
        <f t="shared" si="0"/>
        <v>Cristalina (GO) - Santos (SP) [954 km]4</v>
      </c>
      <c r="C29" t="str">
        <f t="shared" si="1"/>
        <v>Cristalina (GO) - Santos (SP) [954 km]Abril</v>
      </c>
      <c r="D29">
        <v>4</v>
      </c>
      <c r="E29" t="s">
        <v>11</v>
      </c>
      <c r="F29" t="str">
        <f t="shared" si="18"/>
        <v>Cristalina (GO) - Santos (SP) [954 km]</v>
      </c>
      <c r="G29" t="s">
        <v>50</v>
      </c>
      <c r="H29" t="s">
        <v>44</v>
      </c>
      <c r="I29" t="s">
        <v>42</v>
      </c>
      <c r="J29" t="s">
        <v>43</v>
      </c>
      <c r="K29">
        <v>954</v>
      </c>
      <c r="L29" s="16">
        <v>199.60000000000002</v>
      </c>
      <c r="M29" s="16">
        <f t="shared" si="3"/>
        <v>13.46855</v>
      </c>
      <c r="O29">
        <v>1300.7083333333335</v>
      </c>
      <c r="P29">
        <v>584152</v>
      </c>
      <c r="Q29" s="2">
        <v>1206255</v>
      </c>
      <c r="R29" s="2">
        <v>12626343</v>
      </c>
      <c r="W29" s="11">
        <v>6.3535500000000003</v>
      </c>
      <c r="X29" s="11">
        <v>0.14230000000000001</v>
      </c>
      <c r="Y29">
        <f>SIMULADOR!$G$8</f>
        <v>50</v>
      </c>
    </row>
    <row r="30" spans="1:25" x14ac:dyDescent="0.25">
      <c r="A30">
        <v>29</v>
      </c>
      <c r="B30" t="str">
        <f t="shared" si="0"/>
        <v>Cristalina (GO) - Santos (SP) [954 km]5</v>
      </c>
      <c r="C30" t="str">
        <f t="shared" si="1"/>
        <v>Cristalina (GO) - Santos (SP) [954 km]Maio</v>
      </c>
      <c r="D30">
        <v>5</v>
      </c>
      <c r="E30" t="s">
        <v>12</v>
      </c>
      <c r="F30" t="str">
        <f t="shared" si="18"/>
        <v>Cristalina (GO) - Santos (SP) [954 km]</v>
      </c>
      <c r="G30" t="s">
        <v>50</v>
      </c>
      <c r="H30" t="s">
        <v>44</v>
      </c>
      <c r="I30" t="s">
        <v>42</v>
      </c>
      <c r="J30" t="s">
        <v>43</v>
      </c>
      <c r="K30">
        <v>954</v>
      </c>
      <c r="L30" s="16">
        <v>186.5</v>
      </c>
      <c r="M30" s="16">
        <f t="shared" si="3"/>
        <v>12.80855</v>
      </c>
      <c r="O30">
        <v>1440.4206349206347</v>
      </c>
      <c r="P30">
        <v>584152</v>
      </c>
      <c r="Q30" s="2">
        <v>1206255</v>
      </c>
      <c r="R30" s="2">
        <v>12626343</v>
      </c>
      <c r="W30" s="11">
        <v>6.3535500000000003</v>
      </c>
      <c r="X30" s="11">
        <v>0.12909999999999999</v>
      </c>
      <c r="Y30">
        <f>SIMULADOR!$G$8</f>
        <v>50</v>
      </c>
    </row>
    <row r="31" spans="1:25" x14ac:dyDescent="0.25">
      <c r="A31">
        <v>30</v>
      </c>
      <c r="B31" t="str">
        <f t="shared" si="0"/>
        <v>Cristalina (GO) - Santos (SP) [954 km]6</v>
      </c>
      <c r="C31" t="str">
        <f t="shared" si="1"/>
        <v>Cristalina (GO) - Santos (SP) [954 km]Junho</v>
      </c>
      <c r="D31">
        <v>6</v>
      </c>
      <c r="E31" t="s">
        <v>13</v>
      </c>
      <c r="F31" t="str">
        <f t="shared" si="18"/>
        <v>Cristalina (GO) - Santos (SP) [954 km]</v>
      </c>
      <c r="G31" t="s">
        <v>50</v>
      </c>
      <c r="H31" t="s">
        <v>44</v>
      </c>
      <c r="I31" t="s">
        <v>42</v>
      </c>
      <c r="J31" t="s">
        <v>43</v>
      </c>
      <c r="K31">
        <v>954</v>
      </c>
      <c r="L31" s="16">
        <v>173.77499999999998</v>
      </c>
      <c r="M31" s="16">
        <f t="shared" si="3"/>
        <v>12.378550000000001</v>
      </c>
      <c r="O31">
        <v>1586.4696969696972</v>
      </c>
      <c r="P31">
        <v>584152</v>
      </c>
      <c r="Q31" s="2">
        <v>1206255</v>
      </c>
      <c r="R31" s="2">
        <v>12626343</v>
      </c>
      <c r="W31" s="11">
        <v>6.3535500000000003</v>
      </c>
      <c r="X31" s="11">
        <v>0.1205</v>
      </c>
      <c r="Y31">
        <f>SIMULADOR!$G$8</f>
        <v>50</v>
      </c>
    </row>
    <row r="32" spans="1:25" x14ac:dyDescent="0.25">
      <c r="A32">
        <v>31</v>
      </c>
      <c r="B32" t="str">
        <f t="shared" si="0"/>
        <v>Cristalina (GO) - Santos (SP) [954 km]7</v>
      </c>
      <c r="C32" t="str">
        <f t="shared" si="1"/>
        <v>Cristalina (GO) - Santos (SP) [954 km]Julho</v>
      </c>
      <c r="D32">
        <v>7</v>
      </c>
      <c r="E32" t="s">
        <v>14</v>
      </c>
      <c r="F32" t="str">
        <f t="shared" si="18"/>
        <v>Cristalina (GO) - Santos (SP) [954 km]</v>
      </c>
      <c r="G32" t="s">
        <v>50</v>
      </c>
      <c r="H32" t="s">
        <v>44</v>
      </c>
      <c r="I32" t="s">
        <v>42</v>
      </c>
      <c r="J32" t="s">
        <v>43</v>
      </c>
      <c r="K32">
        <v>954</v>
      </c>
      <c r="L32" s="16">
        <v>161.47</v>
      </c>
      <c r="M32" s="16">
        <f t="shared" si="3"/>
        <v>10.583549999999999</v>
      </c>
      <c r="O32">
        <v>1457.7380952380952</v>
      </c>
      <c r="P32">
        <v>584152</v>
      </c>
      <c r="Q32" s="2">
        <v>1206255</v>
      </c>
      <c r="R32" s="2">
        <v>12626343</v>
      </c>
      <c r="W32" s="11">
        <v>6.3535500000000003</v>
      </c>
      <c r="X32" s="11">
        <v>8.4599999999999995E-2</v>
      </c>
      <c r="Y32">
        <f>SIMULADOR!$G$8</f>
        <v>50</v>
      </c>
    </row>
    <row r="33" spans="1:25" x14ac:dyDescent="0.25">
      <c r="A33">
        <v>32</v>
      </c>
      <c r="B33" t="str">
        <f t="shared" si="0"/>
        <v>Cristalina (GO) - Santos (SP) [954 km]8</v>
      </c>
      <c r="C33" t="str">
        <f t="shared" si="1"/>
        <v>Cristalina (GO) - Santos (SP) [954 km]Agosto</v>
      </c>
      <c r="D33">
        <v>8</v>
      </c>
      <c r="E33" t="s">
        <v>15</v>
      </c>
      <c r="F33" t="str">
        <f t="shared" si="18"/>
        <v>Cristalina (GO) - Santos (SP) [954 km]</v>
      </c>
      <c r="G33" t="s">
        <v>50</v>
      </c>
      <c r="H33" t="s">
        <v>44</v>
      </c>
      <c r="I33" t="s">
        <v>42</v>
      </c>
      <c r="J33" t="s">
        <v>43</v>
      </c>
      <c r="K33">
        <v>954</v>
      </c>
      <c r="L33" s="16">
        <v>153.63909999999998</v>
      </c>
      <c r="M33" s="16">
        <f t="shared" si="3"/>
        <v>11.303550000000001</v>
      </c>
      <c r="O33">
        <v>1361.536231884058</v>
      </c>
      <c r="P33">
        <v>584152</v>
      </c>
      <c r="Q33" s="2">
        <v>1206255</v>
      </c>
      <c r="R33" s="2">
        <v>12626343</v>
      </c>
      <c r="W33" s="11">
        <v>6.3535500000000003</v>
      </c>
      <c r="X33" s="11">
        <v>9.9000000000000005E-2</v>
      </c>
      <c r="Y33">
        <f>SIMULADOR!$G$8</f>
        <v>50</v>
      </c>
    </row>
    <row r="34" spans="1:25" x14ac:dyDescent="0.25">
      <c r="A34">
        <v>33</v>
      </c>
      <c r="B34" t="str">
        <f t="shared" si="0"/>
        <v>Cristalina (GO) - Santos (SP) [954 km]9</v>
      </c>
      <c r="C34" t="str">
        <f t="shared" si="1"/>
        <v>Cristalina (GO) - Santos (SP) [954 km]Setembro</v>
      </c>
      <c r="D34">
        <v>9</v>
      </c>
      <c r="E34" t="s">
        <v>16</v>
      </c>
      <c r="F34" t="str">
        <f t="shared" si="18"/>
        <v>Cristalina (GO) - Santos (SP) [954 km]</v>
      </c>
      <c r="G34" t="s">
        <v>50</v>
      </c>
      <c r="H34" t="s">
        <v>44</v>
      </c>
      <c r="I34" t="s">
        <v>42</v>
      </c>
      <c r="J34" t="s">
        <v>43</v>
      </c>
      <c r="K34">
        <v>954</v>
      </c>
      <c r="L34" s="16">
        <v>131.2593</v>
      </c>
      <c r="M34" s="16">
        <f t="shared" si="3"/>
        <v>11.003550000000001</v>
      </c>
      <c r="O34">
        <v>1324.9999999999998</v>
      </c>
      <c r="P34">
        <v>584152</v>
      </c>
      <c r="Q34" s="2">
        <v>1206255</v>
      </c>
      <c r="R34" s="2">
        <v>12626343</v>
      </c>
      <c r="W34" s="11">
        <v>6.3535500000000003</v>
      </c>
      <c r="X34" s="11">
        <v>9.2999999999999999E-2</v>
      </c>
      <c r="Y34">
        <f>SIMULADOR!$G$8</f>
        <v>50</v>
      </c>
    </row>
    <row r="35" spans="1:25" x14ac:dyDescent="0.25">
      <c r="A35">
        <v>34</v>
      </c>
      <c r="B35" t="str">
        <f t="shared" si="0"/>
        <v>Cristalina (GO) - Santos (SP) [954 km]10</v>
      </c>
      <c r="C35" t="str">
        <f t="shared" si="1"/>
        <v>Cristalina (GO) - Santos (SP) [954 km]Outubro</v>
      </c>
      <c r="D35">
        <v>10</v>
      </c>
      <c r="E35" t="s">
        <v>17</v>
      </c>
      <c r="F35" t="str">
        <f t="shared" si="18"/>
        <v>Cristalina (GO) - Santos (SP) [954 km]</v>
      </c>
      <c r="G35" t="s">
        <v>50</v>
      </c>
      <c r="H35" t="s">
        <v>44</v>
      </c>
      <c r="I35" t="s">
        <v>42</v>
      </c>
      <c r="J35" t="s">
        <v>43</v>
      </c>
      <c r="K35">
        <v>954</v>
      </c>
      <c r="L35" s="16">
        <v>117</v>
      </c>
      <c r="M35" s="16">
        <f t="shared" si="3"/>
        <v>13.46855</v>
      </c>
      <c r="O35">
        <v>1278.3916666666667</v>
      </c>
      <c r="P35">
        <v>584152</v>
      </c>
      <c r="Q35" s="2">
        <v>1206255</v>
      </c>
      <c r="R35" s="2">
        <v>12626343</v>
      </c>
      <c r="W35" s="11">
        <v>6.3535500000000003</v>
      </c>
      <c r="X35" s="11">
        <v>0.14230000000000001</v>
      </c>
      <c r="Y35">
        <f>SIMULADOR!$G$8</f>
        <v>50</v>
      </c>
    </row>
    <row r="36" spans="1:25" x14ac:dyDescent="0.25">
      <c r="A36">
        <v>35</v>
      </c>
      <c r="B36" t="str">
        <f t="shared" si="0"/>
        <v>Cristalina (GO) - Santos (SP) [954 km]11</v>
      </c>
      <c r="C36" t="str">
        <f t="shared" si="1"/>
        <v>Cristalina (GO) - Santos (SP) [954 km]Novembro</v>
      </c>
      <c r="D36">
        <v>11</v>
      </c>
      <c r="E36" t="s">
        <v>18</v>
      </c>
      <c r="F36" t="str">
        <f t="shared" si="18"/>
        <v>Cristalina (GO) - Santos (SP) [954 km]</v>
      </c>
      <c r="G36" t="s">
        <v>50</v>
      </c>
      <c r="H36" t="s">
        <v>44</v>
      </c>
      <c r="I36" t="s">
        <v>42</v>
      </c>
      <c r="J36" t="s">
        <v>43</v>
      </c>
      <c r="K36">
        <v>954</v>
      </c>
      <c r="L36" s="16">
        <v>107.6</v>
      </c>
      <c r="M36" s="16">
        <f t="shared" si="3"/>
        <v>12.80855</v>
      </c>
      <c r="O36">
        <v>1304.5416666666667</v>
      </c>
      <c r="P36">
        <v>584152</v>
      </c>
      <c r="Q36" s="2">
        <v>1206255</v>
      </c>
      <c r="R36" s="2">
        <v>12626343</v>
      </c>
      <c r="W36" s="11">
        <v>6.3535500000000003</v>
      </c>
      <c r="X36" s="11">
        <v>0.12909999999999999</v>
      </c>
      <c r="Y36">
        <f>SIMULADOR!$G$8</f>
        <v>50</v>
      </c>
    </row>
    <row r="37" spans="1:25" x14ac:dyDescent="0.25">
      <c r="A37">
        <v>36</v>
      </c>
      <c r="B37" t="str">
        <f t="shared" si="0"/>
        <v>Cristalina (GO) - Santos (SP) [954 km]12</v>
      </c>
      <c r="C37" t="str">
        <f t="shared" si="1"/>
        <v>Cristalina (GO) - Santos (SP) [954 km]Dezembro</v>
      </c>
      <c r="D37">
        <v>12</v>
      </c>
      <c r="E37" t="s">
        <v>19</v>
      </c>
      <c r="F37" t="str">
        <f t="shared" si="18"/>
        <v>Cristalina (GO) - Santos (SP) [954 km]</v>
      </c>
      <c r="G37" t="s">
        <v>50</v>
      </c>
      <c r="H37" t="s">
        <v>44</v>
      </c>
      <c r="I37" t="s">
        <v>42</v>
      </c>
      <c r="J37" t="s">
        <v>43</v>
      </c>
      <c r="K37">
        <v>954</v>
      </c>
      <c r="L37" s="16">
        <v>108.5</v>
      </c>
      <c r="M37" s="16">
        <f t="shared" si="3"/>
        <v>12.378550000000001</v>
      </c>
      <c r="O37">
        <v>1307.1507936507937</v>
      </c>
      <c r="P37">
        <v>584152</v>
      </c>
      <c r="Q37" s="2">
        <v>1206255</v>
      </c>
      <c r="R37" s="2">
        <v>12626343</v>
      </c>
      <c r="W37" s="11">
        <v>6.3535500000000003</v>
      </c>
      <c r="X37" s="11">
        <v>0.1205</v>
      </c>
      <c r="Y37">
        <f>SIMULADOR!$G$8</f>
        <v>50</v>
      </c>
    </row>
    <row r="38" spans="1:25" x14ac:dyDescent="0.25">
      <c r="A38">
        <v>37</v>
      </c>
      <c r="B38" t="str">
        <f t="shared" si="0"/>
        <v>Dourados (MS) - Santos (SP) [1069 km]1</v>
      </c>
      <c r="C38" t="str">
        <f t="shared" si="1"/>
        <v>Dourados (MS) - Santos (SP) [1069 km]Janeiro</v>
      </c>
      <c r="D38">
        <v>1</v>
      </c>
      <c r="E38" t="s">
        <v>9</v>
      </c>
      <c r="F38" t="str">
        <f>CONCATENATE(G38," (",H38,") - ",I38," (",J38,") [",K38," km]")</f>
        <v>Dourados (MS) - Santos (SP) [1069 km]</v>
      </c>
      <c r="G38" t="s">
        <v>51</v>
      </c>
      <c r="H38" t="s">
        <v>52</v>
      </c>
      <c r="I38" t="s">
        <v>42</v>
      </c>
      <c r="J38" t="s">
        <v>43</v>
      </c>
      <c r="K38">
        <v>1069</v>
      </c>
      <c r="L38" s="16">
        <v>165</v>
      </c>
      <c r="M38" s="16">
        <f t="shared" si="3"/>
        <v>10.583549999999999</v>
      </c>
      <c r="O38">
        <v>1379.1000000000001</v>
      </c>
      <c r="P38">
        <v>1040021</v>
      </c>
      <c r="Q38" s="2">
        <v>4292486</v>
      </c>
      <c r="R38" s="2">
        <v>8274117</v>
      </c>
      <c r="W38" s="11">
        <v>6.3535500000000003</v>
      </c>
      <c r="X38" s="11">
        <v>8.4599999999999995E-2</v>
      </c>
      <c r="Y38">
        <f>SIMULADOR!$G$8</f>
        <v>50</v>
      </c>
    </row>
    <row r="39" spans="1:25" x14ac:dyDescent="0.25">
      <c r="A39">
        <v>38</v>
      </c>
      <c r="B39" t="str">
        <f t="shared" si="0"/>
        <v>Dourados (MS) - Santos (SP) [1069 km]2</v>
      </c>
      <c r="C39" t="str">
        <f t="shared" si="1"/>
        <v>Dourados (MS) - Santos (SP) [1069 km]Fevereiro</v>
      </c>
      <c r="D39">
        <v>2</v>
      </c>
      <c r="E39" t="s">
        <v>7</v>
      </c>
      <c r="F39" t="str">
        <f t="shared" ref="F39:F49" si="19">CONCATENATE(G39," (",H39,") - ",I39," (",J39,") [",K39," km]")</f>
        <v>Dourados (MS) - Santos (SP) [1069 km]</v>
      </c>
      <c r="G39" t="s">
        <v>51</v>
      </c>
      <c r="H39" t="s">
        <v>52</v>
      </c>
      <c r="I39" t="s">
        <v>42</v>
      </c>
      <c r="J39" t="s">
        <v>43</v>
      </c>
      <c r="K39">
        <v>1069</v>
      </c>
      <c r="L39" s="16">
        <v>165</v>
      </c>
      <c r="M39" s="16">
        <f t="shared" si="3"/>
        <v>11.303550000000001</v>
      </c>
      <c r="O39">
        <v>1297.1578947368421</v>
      </c>
      <c r="P39">
        <v>1040021</v>
      </c>
      <c r="Q39" s="2">
        <v>4292486</v>
      </c>
      <c r="R39" s="2">
        <v>8274117</v>
      </c>
      <c r="W39" s="11">
        <v>6.3535500000000003</v>
      </c>
      <c r="X39" s="11">
        <v>9.9000000000000005E-2</v>
      </c>
      <c r="Y39">
        <f>SIMULADOR!$G$8</f>
        <v>50</v>
      </c>
    </row>
    <row r="40" spans="1:25" x14ac:dyDescent="0.25">
      <c r="A40">
        <v>39</v>
      </c>
      <c r="B40" t="str">
        <f t="shared" si="0"/>
        <v>Dourados (MS) - Santos (SP) [1069 km]3</v>
      </c>
      <c r="C40" t="str">
        <f t="shared" si="1"/>
        <v>Dourados (MS) - Santos (SP) [1069 km]Março</v>
      </c>
      <c r="D40">
        <v>3</v>
      </c>
      <c r="E40" t="s">
        <v>10</v>
      </c>
      <c r="F40" t="str">
        <f t="shared" si="19"/>
        <v>Dourados (MS) - Santos (SP) [1069 km]</v>
      </c>
      <c r="G40" t="s">
        <v>51</v>
      </c>
      <c r="H40" t="s">
        <v>52</v>
      </c>
      <c r="I40" t="s">
        <v>42</v>
      </c>
      <c r="J40" t="s">
        <v>43</v>
      </c>
      <c r="K40">
        <v>1069</v>
      </c>
      <c r="L40" s="16">
        <v>165</v>
      </c>
      <c r="M40" s="16">
        <f t="shared" si="3"/>
        <v>11.003550000000001</v>
      </c>
      <c r="O40">
        <v>1242.1287878787878</v>
      </c>
      <c r="P40">
        <v>1040021</v>
      </c>
      <c r="Q40" s="2">
        <v>4292486</v>
      </c>
      <c r="R40" s="2">
        <v>8274117</v>
      </c>
      <c r="W40" s="11">
        <v>6.3535500000000003</v>
      </c>
      <c r="X40" s="11">
        <v>9.2999999999999999E-2</v>
      </c>
      <c r="Y40">
        <f>SIMULADOR!$G$8</f>
        <v>50</v>
      </c>
    </row>
    <row r="41" spans="1:25" x14ac:dyDescent="0.25">
      <c r="A41">
        <v>40</v>
      </c>
      <c r="B41" t="str">
        <f t="shared" si="0"/>
        <v>Dourados (MS) - Santos (SP) [1069 km]4</v>
      </c>
      <c r="C41" t="str">
        <f t="shared" si="1"/>
        <v>Dourados (MS) - Santos (SP) [1069 km]Abril</v>
      </c>
      <c r="D41">
        <v>4</v>
      </c>
      <c r="E41" t="s">
        <v>11</v>
      </c>
      <c r="F41" t="str">
        <f t="shared" si="19"/>
        <v>Dourados (MS) - Santos (SP) [1069 km]</v>
      </c>
      <c r="G41" t="s">
        <v>51</v>
      </c>
      <c r="H41" t="s">
        <v>52</v>
      </c>
      <c r="I41" t="s">
        <v>42</v>
      </c>
      <c r="J41" t="s">
        <v>43</v>
      </c>
      <c r="K41">
        <v>1069</v>
      </c>
      <c r="L41" s="16">
        <v>172.8</v>
      </c>
      <c r="M41" s="16">
        <f t="shared" si="3"/>
        <v>13.46855</v>
      </c>
      <c r="O41">
        <v>1300.7083333333335</v>
      </c>
      <c r="P41">
        <v>1040021</v>
      </c>
      <c r="Q41" s="2">
        <v>4292486</v>
      </c>
      <c r="R41" s="2">
        <v>8274117</v>
      </c>
      <c r="W41" s="11">
        <v>6.3535500000000003</v>
      </c>
      <c r="X41" s="11">
        <v>0.14230000000000001</v>
      </c>
      <c r="Y41">
        <f>SIMULADOR!$G$8</f>
        <v>50</v>
      </c>
    </row>
    <row r="42" spans="1:25" x14ac:dyDescent="0.25">
      <c r="A42">
        <v>41</v>
      </c>
      <c r="B42" t="str">
        <f t="shared" si="0"/>
        <v>Dourados (MS) - Santos (SP) [1069 km]5</v>
      </c>
      <c r="C42" t="str">
        <f t="shared" si="1"/>
        <v>Dourados (MS) - Santos (SP) [1069 km]Maio</v>
      </c>
      <c r="D42">
        <v>5</v>
      </c>
      <c r="E42" t="s">
        <v>12</v>
      </c>
      <c r="F42" t="str">
        <f t="shared" si="19"/>
        <v>Dourados (MS) - Santos (SP) [1069 km]</v>
      </c>
      <c r="G42" t="s">
        <v>51</v>
      </c>
      <c r="H42" t="s">
        <v>52</v>
      </c>
      <c r="I42" t="s">
        <v>42</v>
      </c>
      <c r="J42" t="s">
        <v>43</v>
      </c>
      <c r="K42">
        <v>1069</v>
      </c>
      <c r="L42" s="16">
        <v>180.77420000000001</v>
      </c>
      <c r="M42" s="16">
        <f t="shared" si="3"/>
        <v>12.80855</v>
      </c>
      <c r="O42">
        <v>1440.4206349206347</v>
      </c>
      <c r="P42">
        <v>1040021</v>
      </c>
      <c r="Q42" s="2">
        <v>4292486</v>
      </c>
      <c r="R42" s="2">
        <v>8274117</v>
      </c>
      <c r="W42" s="11">
        <v>6.3535500000000003</v>
      </c>
      <c r="X42" s="11">
        <v>0.12909999999999999</v>
      </c>
      <c r="Y42">
        <f>SIMULADOR!$G$8</f>
        <v>50</v>
      </c>
    </row>
    <row r="43" spans="1:25" x14ac:dyDescent="0.25">
      <c r="A43">
        <v>42</v>
      </c>
      <c r="B43" t="str">
        <f t="shared" si="0"/>
        <v>Dourados (MS) - Santos (SP) [1069 km]6</v>
      </c>
      <c r="C43" t="str">
        <f t="shared" si="1"/>
        <v>Dourados (MS) - Santos (SP) [1069 km]Junho</v>
      </c>
      <c r="D43">
        <v>6</v>
      </c>
      <c r="E43" t="s">
        <v>13</v>
      </c>
      <c r="F43" t="str">
        <f t="shared" si="19"/>
        <v>Dourados (MS) - Santos (SP) [1069 km]</v>
      </c>
      <c r="G43" t="s">
        <v>51</v>
      </c>
      <c r="H43" t="s">
        <v>52</v>
      </c>
      <c r="I43" t="s">
        <v>42</v>
      </c>
      <c r="J43" t="s">
        <v>43</v>
      </c>
      <c r="K43">
        <v>1069</v>
      </c>
      <c r="L43" s="16">
        <v>183.48790000000002</v>
      </c>
      <c r="M43" s="16">
        <f t="shared" si="3"/>
        <v>12.378550000000001</v>
      </c>
      <c r="O43">
        <v>1586.4696969696972</v>
      </c>
      <c r="P43">
        <v>1040021</v>
      </c>
      <c r="Q43" s="2">
        <v>4292486</v>
      </c>
      <c r="R43" s="2">
        <v>8274117</v>
      </c>
      <c r="W43" s="11">
        <v>6.3535500000000003</v>
      </c>
      <c r="X43" s="11">
        <v>0.1205</v>
      </c>
      <c r="Y43">
        <f>SIMULADOR!$G$8</f>
        <v>50</v>
      </c>
    </row>
    <row r="44" spans="1:25" x14ac:dyDescent="0.25">
      <c r="A44">
        <v>43</v>
      </c>
      <c r="B44" t="str">
        <f t="shared" si="0"/>
        <v>Dourados (MS) - Santos (SP) [1069 km]7</v>
      </c>
      <c r="C44" t="str">
        <f t="shared" si="1"/>
        <v>Dourados (MS) - Santos (SP) [1069 km]Julho</v>
      </c>
      <c r="D44">
        <v>7</v>
      </c>
      <c r="E44" t="s">
        <v>14</v>
      </c>
      <c r="F44" t="str">
        <f t="shared" si="19"/>
        <v>Dourados (MS) - Santos (SP) [1069 km]</v>
      </c>
      <c r="G44" t="s">
        <v>51</v>
      </c>
      <c r="H44" t="s">
        <v>52</v>
      </c>
      <c r="I44" t="s">
        <v>42</v>
      </c>
      <c r="J44" t="s">
        <v>43</v>
      </c>
      <c r="K44">
        <v>1069</v>
      </c>
      <c r="L44" s="16">
        <v>165</v>
      </c>
      <c r="M44" s="16">
        <f t="shared" si="3"/>
        <v>10.583549999999999</v>
      </c>
      <c r="O44">
        <v>1457.7380952380952</v>
      </c>
      <c r="P44">
        <v>1040021</v>
      </c>
      <c r="Q44" s="2">
        <v>4292486</v>
      </c>
      <c r="R44" s="2">
        <v>8274117</v>
      </c>
      <c r="W44" s="11">
        <v>6.3535500000000003</v>
      </c>
      <c r="X44" s="11">
        <v>8.4599999999999995E-2</v>
      </c>
      <c r="Y44">
        <f>SIMULADOR!$G$8</f>
        <v>50</v>
      </c>
    </row>
    <row r="45" spans="1:25" x14ac:dyDescent="0.25">
      <c r="A45">
        <v>44</v>
      </c>
      <c r="B45" t="str">
        <f t="shared" si="0"/>
        <v>Dourados (MS) - Santos (SP) [1069 km]8</v>
      </c>
      <c r="C45" t="str">
        <f t="shared" si="1"/>
        <v>Dourados (MS) - Santos (SP) [1069 km]Agosto</v>
      </c>
      <c r="D45">
        <v>8</v>
      </c>
      <c r="E45" t="s">
        <v>15</v>
      </c>
      <c r="F45" t="str">
        <f t="shared" si="19"/>
        <v>Dourados (MS) - Santos (SP) [1069 km]</v>
      </c>
      <c r="G45" t="s">
        <v>51</v>
      </c>
      <c r="H45" t="s">
        <v>52</v>
      </c>
      <c r="I45" t="s">
        <v>42</v>
      </c>
      <c r="J45" t="s">
        <v>43</v>
      </c>
      <c r="K45">
        <v>1069</v>
      </c>
      <c r="L45" s="16">
        <v>165</v>
      </c>
      <c r="M45" s="16">
        <f t="shared" si="3"/>
        <v>11.303550000000001</v>
      </c>
      <c r="O45">
        <v>1361.536231884058</v>
      </c>
      <c r="P45">
        <v>1040021</v>
      </c>
      <c r="Q45" s="2">
        <v>4292486</v>
      </c>
      <c r="R45" s="2">
        <v>8274117</v>
      </c>
      <c r="W45" s="11">
        <v>6.3535500000000003</v>
      </c>
      <c r="X45" s="11">
        <v>9.9000000000000005E-2</v>
      </c>
      <c r="Y45">
        <f>SIMULADOR!$G$8</f>
        <v>50</v>
      </c>
    </row>
    <row r="46" spans="1:25" x14ac:dyDescent="0.25">
      <c r="A46">
        <v>45</v>
      </c>
      <c r="B46" t="str">
        <f t="shared" si="0"/>
        <v>Dourados (MS) - Santos (SP) [1069 km]9</v>
      </c>
      <c r="C46" t="str">
        <f t="shared" si="1"/>
        <v>Dourados (MS) - Santos (SP) [1069 km]Setembro</v>
      </c>
      <c r="D46">
        <v>9</v>
      </c>
      <c r="E46" t="s">
        <v>16</v>
      </c>
      <c r="F46" t="str">
        <f t="shared" si="19"/>
        <v>Dourados (MS) - Santos (SP) [1069 km]</v>
      </c>
      <c r="G46" t="s">
        <v>51</v>
      </c>
      <c r="H46" t="s">
        <v>52</v>
      </c>
      <c r="I46" t="s">
        <v>42</v>
      </c>
      <c r="J46" t="s">
        <v>43</v>
      </c>
      <c r="K46">
        <v>1069</v>
      </c>
      <c r="L46" s="16">
        <v>148.10000000000002</v>
      </c>
      <c r="M46" s="16">
        <f t="shared" si="3"/>
        <v>11.003550000000001</v>
      </c>
      <c r="O46">
        <v>1324.9999999999998</v>
      </c>
      <c r="P46">
        <v>1040021</v>
      </c>
      <c r="Q46" s="2">
        <v>4292486</v>
      </c>
      <c r="R46" s="2">
        <v>8274117</v>
      </c>
      <c r="W46" s="11">
        <v>6.3535500000000003</v>
      </c>
      <c r="X46" s="11">
        <v>9.2999999999999999E-2</v>
      </c>
      <c r="Y46">
        <f>SIMULADOR!$G$8</f>
        <v>50</v>
      </c>
    </row>
    <row r="47" spans="1:25" x14ac:dyDescent="0.25">
      <c r="A47">
        <v>46</v>
      </c>
      <c r="B47" t="str">
        <f t="shared" si="0"/>
        <v>Dourados (MS) - Santos (SP) [1069 km]10</v>
      </c>
      <c r="C47" t="str">
        <f t="shared" si="1"/>
        <v>Dourados (MS) - Santos (SP) [1069 km]Outubro</v>
      </c>
      <c r="D47">
        <v>10</v>
      </c>
      <c r="E47" t="s">
        <v>17</v>
      </c>
      <c r="F47" t="str">
        <f t="shared" si="19"/>
        <v>Dourados (MS) - Santos (SP) [1069 km]</v>
      </c>
      <c r="G47" t="s">
        <v>51</v>
      </c>
      <c r="H47" t="s">
        <v>52</v>
      </c>
      <c r="I47" t="s">
        <v>42</v>
      </c>
      <c r="J47" t="s">
        <v>43</v>
      </c>
      <c r="K47">
        <v>1069</v>
      </c>
      <c r="L47" s="16">
        <v>133</v>
      </c>
      <c r="M47" s="16">
        <f t="shared" si="3"/>
        <v>13.46855</v>
      </c>
      <c r="O47">
        <v>1278.3916666666667</v>
      </c>
      <c r="P47">
        <v>1040021</v>
      </c>
      <c r="Q47" s="2">
        <v>4292486</v>
      </c>
      <c r="R47" s="2">
        <v>8274117</v>
      </c>
      <c r="W47" s="11">
        <v>6.3535500000000003</v>
      </c>
      <c r="X47" s="11">
        <v>0.14230000000000001</v>
      </c>
      <c r="Y47">
        <f>SIMULADOR!$G$8</f>
        <v>50</v>
      </c>
    </row>
    <row r="48" spans="1:25" x14ac:dyDescent="0.25">
      <c r="A48">
        <v>47</v>
      </c>
      <c r="B48" t="str">
        <f t="shared" si="0"/>
        <v>Dourados (MS) - Santos (SP) [1069 km]11</v>
      </c>
      <c r="C48" t="str">
        <f t="shared" si="1"/>
        <v>Dourados (MS) - Santos (SP) [1069 km]Novembro</v>
      </c>
      <c r="D48">
        <v>11</v>
      </c>
      <c r="E48" t="s">
        <v>18</v>
      </c>
      <c r="F48" t="str">
        <f t="shared" si="19"/>
        <v>Dourados (MS) - Santos (SP) [1069 km]</v>
      </c>
      <c r="G48" t="s">
        <v>51</v>
      </c>
      <c r="H48" t="s">
        <v>52</v>
      </c>
      <c r="I48" t="s">
        <v>42</v>
      </c>
      <c r="J48" t="s">
        <v>43</v>
      </c>
      <c r="K48">
        <v>1069</v>
      </c>
      <c r="L48" s="16">
        <v>119.15</v>
      </c>
      <c r="M48" s="16">
        <f t="shared" si="3"/>
        <v>12.80855</v>
      </c>
      <c r="O48">
        <v>1304.5416666666667</v>
      </c>
      <c r="P48">
        <v>1040021</v>
      </c>
      <c r="Q48" s="2">
        <v>4292486</v>
      </c>
      <c r="R48" s="2">
        <v>8274117</v>
      </c>
      <c r="W48" s="11">
        <v>6.3535500000000003</v>
      </c>
      <c r="X48" s="11">
        <v>0.12909999999999999</v>
      </c>
      <c r="Y48">
        <f>SIMULADOR!$G$8</f>
        <v>50</v>
      </c>
    </row>
    <row r="49" spans="1:25" x14ac:dyDescent="0.25">
      <c r="A49">
        <v>48</v>
      </c>
      <c r="B49" t="str">
        <f t="shared" si="0"/>
        <v>Dourados (MS) - Santos (SP) [1069 km]12</v>
      </c>
      <c r="C49" t="str">
        <f t="shared" si="1"/>
        <v>Dourados (MS) - Santos (SP) [1069 km]Dezembro</v>
      </c>
      <c r="D49">
        <v>12</v>
      </c>
      <c r="E49" t="s">
        <v>19</v>
      </c>
      <c r="F49" t="str">
        <f t="shared" si="19"/>
        <v>Dourados (MS) - Santos (SP) [1069 km]</v>
      </c>
      <c r="G49" t="s">
        <v>51</v>
      </c>
      <c r="H49" t="s">
        <v>52</v>
      </c>
      <c r="I49" t="s">
        <v>42</v>
      </c>
      <c r="J49" t="s">
        <v>43</v>
      </c>
      <c r="K49">
        <v>1069</v>
      </c>
      <c r="L49" s="16">
        <v>113.94</v>
      </c>
      <c r="M49" s="16">
        <f t="shared" si="3"/>
        <v>12.378550000000001</v>
      </c>
      <c r="O49">
        <v>1307.1507936507937</v>
      </c>
      <c r="P49">
        <v>1040021</v>
      </c>
      <c r="Q49" s="2">
        <v>4292486</v>
      </c>
      <c r="R49" s="2">
        <v>8274117</v>
      </c>
      <c r="W49" s="11">
        <v>6.3535500000000003</v>
      </c>
      <c r="X49" s="11">
        <v>0.1205</v>
      </c>
      <c r="Y49">
        <f>SIMULADOR!$G$8</f>
        <v>50</v>
      </c>
    </row>
    <row r="50" spans="1:25" x14ac:dyDescent="0.25">
      <c r="A50">
        <v>49</v>
      </c>
      <c r="B50" t="str">
        <f t="shared" si="0"/>
        <v>Goiatuba (GO) - Santos (SP) [840 km]1</v>
      </c>
      <c r="C50" t="str">
        <f t="shared" si="1"/>
        <v>Goiatuba (GO) - Santos (SP) [840 km]Janeiro</v>
      </c>
      <c r="D50">
        <v>1</v>
      </c>
      <c r="E50" t="s">
        <v>9</v>
      </c>
      <c r="F50" t="str">
        <f>CONCATENATE(G50," (",H50,") - ",I50," (",J50,") [",K50," km]")</f>
        <v>Goiatuba (GO) - Santos (SP) [840 km]</v>
      </c>
      <c r="G50" t="s">
        <v>53</v>
      </c>
      <c r="H50" t="s">
        <v>44</v>
      </c>
      <c r="I50" t="s">
        <v>42</v>
      </c>
      <c r="J50" t="s">
        <v>43</v>
      </c>
      <c r="K50">
        <v>840</v>
      </c>
      <c r="L50" s="16">
        <v>151.38999999999999</v>
      </c>
      <c r="M50" s="16">
        <f t="shared" si="3"/>
        <v>10.583549999999999</v>
      </c>
      <c r="O50">
        <v>1379.1000000000001</v>
      </c>
      <c r="P50">
        <v>318963</v>
      </c>
      <c r="Q50" s="2">
        <v>1857487</v>
      </c>
      <c r="R50" s="2">
        <v>12626343</v>
      </c>
      <c r="W50" s="11">
        <v>6.3535500000000003</v>
      </c>
      <c r="X50" s="11">
        <v>8.4599999999999995E-2</v>
      </c>
      <c r="Y50">
        <f>SIMULADOR!$G$8</f>
        <v>50</v>
      </c>
    </row>
    <row r="51" spans="1:25" x14ac:dyDescent="0.25">
      <c r="A51">
        <v>50</v>
      </c>
      <c r="B51" t="str">
        <f t="shared" si="0"/>
        <v>Goiatuba (GO) - Santos (SP) [840 km]2</v>
      </c>
      <c r="C51" t="str">
        <f t="shared" si="1"/>
        <v>Goiatuba (GO) - Santos (SP) [840 km]Fevereiro</v>
      </c>
      <c r="D51">
        <v>2</v>
      </c>
      <c r="E51" t="s">
        <v>7</v>
      </c>
      <c r="F51" t="str">
        <f t="shared" ref="F51:F61" si="20">CONCATENATE(G51," (",H51,") - ",I51," (",J51,") [",K51," km]")</f>
        <v>Goiatuba (GO) - Santos (SP) [840 km]</v>
      </c>
      <c r="G51" t="s">
        <v>53</v>
      </c>
      <c r="H51" t="s">
        <v>44</v>
      </c>
      <c r="I51" t="s">
        <v>42</v>
      </c>
      <c r="J51" t="s">
        <v>43</v>
      </c>
      <c r="K51">
        <v>840</v>
      </c>
      <c r="L51" s="16">
        <v>157.21350000000001</v>
      </c>
      <c r="M51" s="16">
        <f t="shared" si="3"/>
        <v>11.303550000000001</v>
      </c>
      <c r="O51">
        <v>1297.1578947368421</v>
      </c>
      <c r="P51">
        <v>318963</v>
      </c>
      <c r="Q51" s="2">
        <v>1857487</v>
      </c>
      <c r="R51" s="2">
        <v>12626343</v>
      </c>
      <c r="W51" s="11">
        <v>6.3535500000000003</v>
      </c>
      <c r="X51" s="11">
        <v>9.9000000000000005E-2</v>
      </c>
      <c r="Y51">
        <f>SIMULADOR!$G$8</f>
        <v>50</v>
      </c>
    </row>
    <row r="52" spans="1:25" x14ac:dyDescent="0.25">
      <c r="A52">
        <v>51</v>
      </c>
      <c r="B52" t="str">
        <f t="shared" si="0"/>
        <v>Goiatuba (GO) - Santos (SP) [840 km]3</v>
      </c>
      <c r="C52" t="str">
        <f t="shared" si="1"/>
        <v>Goiatuba (GO) - Santos (SP) [840 km]Março</v>
      </c>
      <c r="D52">
        <v>3</v>
      </c>
      <c r="E52" t="s">
        <v>10</v>
      </c>
      <c r="F52" t="str">
        <f t="shared" si="20"/>
        <v>Goiatuba (GO) - Santos (SP) [840 km]</v>
      </c>
      <c r="G52" t="s">
        <v>53</v>
      </c>
      <c r="H52" t="s">
        <v>44</v>
      </c>
      <c r="I52" t="s">
        <v>42</v>
      </c>
      <c r="J52" t="s">
        <v>43</v>
      </c>
      <c r="K52">
        <v>840</v>
      </c>
      <c r="L52" s="16">
        <v>154.5</v>
      </c>
      <c r="M52" s="16">
        <f t="shared" si="3"/>
        <v>11.003550000000001</v>
      </c>
      <c r="O52">
        <v>1242.1287878787878</v>
      </c>
      <c r="P52">
        <v>318963</v>
      </c>
      <c r="Q52" s="2">
        <v>1857487</v>
      </c>
      <c r="R52" s="2">
        <v>12626343</v>
      </c>
      <c r="W52" s="11">
        <v>6.3535500000000003</v>
      </c>
      <c r="X52" s="11">
        <v>9.2999999999999999E-2</v>
      </c>
      <c r="Y52">
        <f>SIMULADOR!$G$8</f>
        <v>50</v>
      </c>
    </row>
    <row r="53" spans="1:25" x14ac:dyDescent="0.25">
      <c r="A53">
        <v>52</v>
      </c>
      <c r="B53" t="str">
        <f t="shared" si="0"/>
        <v>Goiatuba (GO) - Santos (SP) [840 km]4</v>
      </c>
      <c r="C53" t="str">
        <f t="shared" si="1"/>
        <v>Goiatuba (GO) - Santos (SP) [840 km]Abril</v>
      </c>
      <c r="D53">
        <v>4</v>
      </c>
      <c r="E53" t="s">
        <v>11</v>
      </c>
      <c r="F53" t="str">
        <f t="shared" si="20"/>
        <v>Goiatuba (GO) - Santos (SP) [840 km]</v>
      </c>
      <c r="G53" t="s">
        <v>53</v>
      </c>
      <c r="H53" t="s">
        <v>44</v>
      </c>
      <c r="I53" t="s">
        <v>42</v>
      </c>
      <c r="J53" t="s">
        <v>43</v>
      </c>
      <c r="K53">
        <v>840</v>
      </c>
      <c r="L53" s="16">
        <v>170</v>
      </c>
      <c r="M53" s="16">
        <f t="shared" si="3"/>
        <v>13.46855</v>
      </c>
      <c r="O53">
        <v>1300.7083333333335</v>
      </c>
      <c r="P53">
        <v>318963</v>
      </c>
      <c r="Q53" s="2">
        <v>1857487</v>
      </c>
      <c r="R53" s="2">
        <v>12626343</v>
      </c>
      <c r="W53" s="11">
        <v>6.3535500000000003</v>
      </c>
      <c r="X53" s="11">
        <v>0.14230000000000001</v>
      </c>
      <c r="Y53">
        <f>SIMULADOR!$G$8</f>
        <v>50</v>
      </c>
    </row>
    <row r="54" spans="1:25" x14ac:dyDescent="0.25">
      <c r="A54">
        <v>53</v>
      </c>
      <c r="B54" t="str">
        <f t="shared" si="0"/>
        <v>Goiatuba (GO) - Santos (SP) [840 km]5</v>
      </c>
      <c r="C54" t="str">
        <f t="shared" si="1"/>
        <v>Goiatuba (GO) - Santos (SP) [840 km]Maio</v>
      </c>
      <c r="D54">
        <v>5</v>
      </c>
      <c r="E54" t="s">
        <v>12</v>
      </c>
      <c r="F54" t="str">
        <f t="shared" si="20"/>
        <v>Goiatuba (GO) - Santos (SP) [840 km]</v>
      </c>
      <c r="G54" t="s">
        <v>53</v>
      </c>
      <c r="H54" t="s">
        <v>44</v>
      </c>
      <c r="I54" t="s">
        <v>42</v>
      </c>
      <c r="J54" t="s">
        <v>43</v>
      </c>
      <c r="K54">
        <v>840</v>
      </c>
      <c r="L54" s="16">
        <v>170.999</v>
      </c>
      <c r="M54" s="16">
        <f t="shared" si="3"/>
        <v>12.80855</v>
      </c>
      <c r="O54">
        <v>1440.4206349206347</v>
      </c>
      <c r="P54">
        <v>318963</v>
      </c>
      <c r="Q54" s="2">
        <v>1857487</v>
      </c>
      <c r="R54" s="2">
        <v>12626343</v>
      </c>
      <c r="W54" s="11">
        <v>6.3535500000000003</v>
      </c>
      <c r="X54" s="11">
        <v>0.12909999999999999</v>
      </c>
      <c r="Y54">
        <f>SIMULADOR!$G$8</f>
        <v>50</v>
      </c>
    </row>
    <row r="55" spans="1:25" x14ac:dyDescent="0.25">
      <c r="A55">
        <v>54</v>
      </c>
      <c r="B55" t="str">
        <f t="shared" si="0"/>
        <v>Goiatuba (GO) - Santos (SP) [840 km]6</v>
      </c>
      <c r="C55" t="str">
        <f t="shared" si="1"/>
        <v>Goiatuba (GO) - Santos (SP) [840 km]Junho</v>
      </c>
      <c r="D55">
        <v>6</v>
      </c>
      <c r="E55" t="s">
        <v>13</v>
      </c>
      <c r="F55" t="str">
        <f t="shared" si="20"/>
        <v>Goiatuba (GO) - Santos (SP) [840 km]</v>
      </c>
      <c r="G55" t="s">
        <v>53</v>
      </c>
      <c r="H55" t="s">
        <v>44</v>
      </c>
      <c r="I55" t="s">
        <v>42</v>
      </c>
      <c r="J55" t="s">
        <v>43</v>
      </c>
      <c r="K55">
        <v>840</v>
      </c>
      <c r="L55" s="16">
        <v>163.75900000000001</v>
      </c>
      <c r="M55" s="16">
        <f t="shared" si="3"/>
        <v>12.378550000000001</v>
      </c>
      <c r="O55">
        <v>1586.4696969696972</v>
      </c>
      <c r="P55">
        <v>318963</v>
      </c>
      <c r="Q55" s="2">
        <v>1857487</v>
      </c>
      <c r="R55" s="2">
        <v>12626343</v>
      </c>
      <c r="W55" s="11">
        <v>6.3535500000000003</v>
      </c>
      <c r="X55" s="11">
        <v>0.1205</v>
      </c>
      <c r="Y55">
        <f>SIMULADOR!$G$8</f>
        <v>50</v>
      </c>
    </row>
    <row r="56" spans="1:25" x14ac:dyDescent="0.25">
      <c r="A56">
        <v>55</v>
      </c>
      <c r="B56" t="str">
        <f t="shared" si="0"/>
        <v>Goiatuba (GO) - Santos (SP) [840 km]7</v>
      </c>
      <c r="C56" t="str">
        <f t="shared" si="1"/>
        <v>Goiatuba (GO) - Santos (SP) [840 km]Julho</v>
      </c>
      <c r="D56">
        <v>7</v>
      </c>
      <c r="E56" t="s">
        <v>14</v>
      </c>
      <c r="F56" t="str">
        <f t="shared" si="20"/>
        <v>Goiatuba (GO) - Santos (SP) [840 km]</v>
      </c>
      <c r="G56" t="s">
        <v>53</v>
      </c>
      <c r="H56" t="s">
        <v>44</v>
      </c>
      <c r="I56" t="s">
        <v>42</v>
      </c>
      <c r="J56" t="s">
        <v>43</v>
      </c>
      <c r="K56">
        <v>840</v>
      </c>
      <c r="L56" s="16">
        <v>145.517</v>
      </c>
      <c r="M56" s="16">
        <f t="shared" si="3"/>
        <v>10.583549999999999</v>
      </c>
      <c r="O56">
        <v>1457.7380952380952</v>
      </c>
      <c r="P56">
        <v>318963</v>
      </c>
      <c r="Q56" s="2">
        <v>1857487</v>
      </c>
      <c r="R56" s="2">
        <v>12626343</v>
      </c>
      <c r="W56" s="11">
        <v>6.3535500000000003</v>
      </c>
      <c r="X56" s="11">
        <v>8.4599999999999995E-2</v>
      </c>
      <c r="Y56">
        <f>SIMULADOR!$G$8</f>
        <v>50</v>
      </c>
    </row>
    <row r="57" spans="1:25" x14ac:dyDescent="0.25">
      <c r="A57">
        <v>56</v>
      </c>
      <c r="B57" t="str">
        <f t="shared" si="0"/>
        <v>Goiatuba (GO) - Santos (SP) [840 km]8</v>
      </c>
      <c r="C57" t="str">
        <f t="shared" si="1"/>
        <v>Goiatuba (GO) - Santos (SP) [840 km]Agosto</v>
      </c>
      <c r="D57">
        <v>8</v>
      </c>
      <c r="E57" t="s">
        <v>15</v>
      </c>
      <c r="F57" t="str">
        <f t="shared" si="20"/>
        <v>Goiatuba (GO) - Santos (SP) [840 km]</v>
      </c>
      <c r="G57" t="s">
        <v>53</v>
      </c>
      <c r="H57" t="s">
        <v>44</v>
      </c>
      <c r="I57" t="s">
        <v>42</v>
      </c>
      <c r="J57" t="s">
        <v>43</v>
      </c>
      <c r="K57">
        <v>840</v>
      </c>
      <c r="L57" s="16">
        <v>137.45750000000001</v>
      </c>
      <c r="M57" s="16">
        <f t="shared" si="3"/>
        <v>11.303550000000001</v>
      </c>
      <c r="O57">
        <v>1361.536231884058</v>
      </c>
      <c r="P57">
        <v>318963</v>
      </c>
      <c r="Q57" s="2">
        <v>1857487</v>
      </c>
      <c r="R57" s="2">
        <v>12626343</v>
      </c>
      <c r="W57" s="11">
        <v>6.3535500000000003</v>
      </c>
      <c r="X57" s="11">
        <v>9.9000000000000005E-2</v>
      </c>
      <c r="Y57">
        <f>SIMULADOR!$G$8</f>
        <v>50</v>
      </c>
    </row>
    <row r="58" spans="1:25" x14ac:dyDescent="0.25">
      <c r="A58">
        <v>57</v>
      </c>
      <c r="B58" t="str">
        <f t="shared" si="0"/>
        <v>Goiatuba (GO) - Santos (SP) [840 km]9</v>
      </c>
      <c r="C58" t="str">
        <f t="shared" si="1"/>
        <v>Goiatuba (GO) - Santos (SP) [840 km]Setembro</v>
      </c>
      <c r="D58">
        <v>9</v>
      </c>
      <c r="E58" t="s">
        <v>16</v>
      </c>
      <c r="F58" t="str">
        <f t="shared" si="20"/>
        <v>Goiatuba (GO) - Santos (SP) [840 km]</v>
      </c>
      <c r="G58" t="s">
        <v>53</v>
      </c>
      <c r="H58" t="s">
        <v>44</v>
      </c>
      <c r="I58" t="s">
        <v>42</v>
      </c>
      <c r="J58" t="s">
        <v>43</v>
      </c>
      <c r="K58">
        <v>840</v>
      </c>
      <c r="L58" s="16">
        <v>124.75</v>
      </c>
      <c r="M58" s="16">
        <f t="shared" si="3"/>
        <v>11.003550000000001</v>
      </c>
      <c r="O58">
        <v>1324.9999999999998</v>
      </c>
      <c r="P58">
        <v>318963</v>
      </c>
      <c r="Q58" s="2">
        <v>1857487</v>
      </c>
      <c r="R58" s="2">
        <v>12626343</v>
      </c>
      <c r="W58" s="11">
        <v>6.3535500000000003</v>
      </c>
      <c r="X58" s="11">
        <v>9.2999999999999999E-2</v>
      </c>
      <c r="Y58">
        <f>SIMULADOR!$G$8</f>
        <v>50</v>
      </c>
    </row>
    <row r="59" spans="1:25" x14ac:dyDescent="0.25">
      <c r="A59">
        <v>58</v>
      </c>
      <c r="B59" t="str">
        <f t="shared" si="0"/>
        <v>Goiatuba (GO) - Santos (SP) [840 km]10</v>
      </c>
      <c r="C59" t="str">
        <f t="shared" si="1"/>
        <v>Goiatuba (GO) - Santos (SP) [840 km]Outubro</v>
      </c>
      <c r="D59">
        <v>10</v>
      </c>
      <c r="E59" t="s">
        <v>17</v>
      </c>
      <c r="F59" t="str">
        <f t="shared" si="20"/>
        <v>Goiatuba (GO) - Santos (SP) [840 km]</v>
      </c>
      <c r="G59" t="s">
        <v>53</v>
      </c>
      <c r="H59" t="s">
        <v>44</v>
      </c>
      <c r="I59" t="s">
        <v>42</v>
      </c>
      <c r="J59" t="s">
        <v>43</v>
      </c>
      <c r="K59">
        <v>840</v>
      </c>
      <c r="L59" s="16">
        <v>110.45</v>
      </c>
      <c r="M59" s="16">
        <f t="shared" si="3"/>
        <v>13.46855</v>
      </c>
      <c r="O59">
        <v>1278.3916666666667</v>
      </c>
      <c r="P59">
        <v>318963</v>
      </c>
      <c r="Q59" s="2">
        <v>1857487</v>
      </c>
      <c r="R59" s="2">
        <v>12626343</v>
      </c>
      <c r="W59" s="11">
        <v>6.3535500000000003</v>
      </c>
      <c r="X59" s="11">
        <v>0.14230000000000001</v>
      </c>
      <c r="Y59">
        <f>SIMULADOR!$G$8</f>
        <v>50</v>
      </c>
    </row>
    <row r="60" spans="1:25" x14ac:dyDescent="0.25">
      <c r="A60">
        <v>59</v>
      </c>
      <c r="B60" t="str">
        <f t="shared" si="0"/>
        <v>Goiatuba (GO) - Santos (SP) [840 km]11</v>
      </c>
      <c r="C60" t="str">
        <f t="shared" si="1"/>
        <v>Goiatuba (GO) - Santos (SP) [840 km]Novembro</v>
      </c>
      <c r="D60">
        <v>11</v>
      </c>
      <c r="E60" t="s">
        <v>18</v>
      </c>
      <c r="F60" t="str">
        <f t="shared" si="20"/>
        <v>Goiatuba (GO) - Santos (SP) [840 km]</v>
      </c>
      <c r="G60" t="s">
        <v>53</v>
      </c>
      <c r="H60" t="s">
        <v>44</v>
      </c>
      <c r="I60" t="s">
        <v>42</v>
      </c>
      <c r="J60" t="s">
        <v>43</v>
      </c>
      <c r="K60">
        <v>840</v>
      </c>
      <c r="L60" s="16">
        <v>100.325</v>
      </c>
      <c r="M60" s="16">
        <f t="shared" si="3"/>
        <v>12.80855</v>
      </c>
      <c r="O60">
        <v>1304.5416666666667</v>
      </c>
      <c r="P60">
        <v>318963</v>
      </c>
      <c r="Q60" s="2">
        <v>1857487</v>
      </c>
      <c r="R60" s="2">
        <v>12626343</v>
      </c>
      <c r="W60" s="11">
        <v>6.3535500000000003</v>
      </c>
      <c r="X60" s="11">
        <v>0.12909999999999999</v>
      </c>
      <c r="Y60">
        <f>SIMULADOR!$G$8</f>
        <v>50</v>
      </c>
    </row>
    <row r="61" spans="1:25" x14ac:dyDescent="0.25">
      <c r="A61">
        <v>60</v>
      </c>
      <c r="B61" t="str">
        <f t="shared" si="0"/>
        <v>Goiatuba (GO) - Santos (SP) [840 km]12</v>
      </c>
      <c r="C61" t="str">
        <f t="shared" si="1"/>
        <v>Goiatuba (GO) - Santos (SP) [840 km]Dezembro</v>
      </c>
      <c r="D61">
        <v>12</v>
      </c>
      <c r="E61" t="s">
        <v>19</v>
      </c>
      <c r="F61" t="str">
        <f t="shared" si="20"/>
        <v>Goiatuba (GO) - Santos (SP) [840 km]</v>
      </c>
      <c r="G61" t="s">
        <v>53</v>
      </c>
      <c r="H61" t="s">
        <v>44</v>
      </c>
      <c r="I61" t="s">
        <v>42</v>
      </c>
      <c r="J61" t="s">
        <v>43</v>
      </c>
      <c r="K61">
        <v>840</v>
      </c>
      <c r="L61" s="16">
        <v>96</v>
      </c>
      <c r="M61" s="16">
        <f t="shared" si="3"/>
        <v>12.378550000000001</v>
      </c>
      <c r="O61">
        <v>1307.1507936507937</v>
      </c>
      <c r="P61">
        <v>318963</v>
      </c>
      <c r="Q61" s="2">
        <v>1857487</v>
      </c>
      <c r="R61" s="2">
        <v>12626343</v>
      </c>
      <c r="W61" s="11">
        <v>6.3535500000000003</v>
      </c>
      <c r="X61" s="11">
        <v>0.1205</v>
      </c>
      <c r="Y61">
        <f>SIMULADOR!$G$8</f>
        <v>50</v>
      </c>
    </row>
    <row r="62" spans="1:25" x14ac:dyDescent="0.25">
      <c r="A62">
        <v>61</v>
      </c>
      <c r="B62" t="str">
        <f t="shared" si="0"/>
        <v>Primavera do Leste (MT) - Santos (SP) [1685 km]1</v>
      </c>
      <c r="C62" t="str">
        <f t="shared" si="1"/>
        <v>Primavera do Leste (MT) - Santos (SP) [1685 km]Janeiro</v>
      </c>
      <c r="D62">
        <v>1</v>
      </c>
      <c r="E62" t="s">
        <v>9</v>
      </c>
      <c r="F62" t="str">
        <f>CONCATENATE(G62," (",H62,") - ",I62," (",J62,") [",K62," km]")</f>
        <v>Primavera do Leste (MT) - Santos (SP) [1685 km]</v>
      </c>
      <c r="G62" t="s">
        <v>48</v>
      </c>
      <c r="H62" t="s">
        <v>37</v>
      </c>
      <c r="I62" t="s">
        <v>42</v>
      </c>
      <c r="J62" t="s">
        <v>43</v>
      </c>
      <c r="K62">
        <v>1685</v>
      </c>
      <c r="L62" s="16">
        <v>272.62</v>
      </c>
      <c r="M62" s="16">
        <f t="shared" si="3"/>
        <v>10.583549999999999</v>
      </c>
      <c r="O62">
        <v>1379.1000000000001</v>
      </c>
      <c r="P62">
        <v>2307004</v>
      </c>
      <c r="Q62" s="2">
        <v>3292219</v>
      </c>
      <c r="R62" s="2">
        <v>30245425</v>
      </c>
      <c r="W62" s="11">
        <v>6.3535500000000003</v>
      </c>
      <c r="X62" s="11">
        <v>8.4599999999999995E-2</v>
      </c>
      <c r="Y62">
        <f>SIMULADOR!$G$8</f>
        <v>50</v>
      </c>
    </row>
    <row r="63" spans="1:25" x14ac:dyDescent="0.25">
      <c r="A63">
        <v>62</v>
      </c>
      <c r="B63" t="str">
        <f t="shared" si="0"/>
        <v>Primavera do Leste (MT) - Santos (SP) [1685 km]2</v>
      </c>
      <c r="C63" t="str">
        <f t="shared" si="1"/>
        <v>Primavera do Leste (MT) - Santos (SP) [1685 km]Fevereiro</v>
      </c>
      <c r="D63">
        <v>2</v>
      </c>
      <c r="E63" t="s">
        <v>7</v>
      </c>
      <c r="F63" t="str">
        <f t="shared" ref="F63:F73" si="21">CONCATENATE(G63," (",H63,") - ",I63," (",J63,") [",K63," km]")</f>
        <v>Primavera do Leste (MT) - Santos (SP) [1685 km]</v>
      </c>
      <c r="G63" t="s">
        <v>48</v>
      </c>
      <c r="H63" t="s">
        <v>37</v>
      </c>
      <c r="I63" t="s">
        <v>42</v>
      </c>
      <c r="J63" t="s">
        <v>43</v>
      </c>
      <c r="K63">
        <v>1685</v>
      </c>
      <c r="L63" s="16">
        <v>267.22000000000003</v>
      </c>
      <c r="M63" s="16">
        <f t="shared" si="3"/>
        <v>11.303550000000001</v>
      </c>
      <c r="O63">
        <v>1297.1578947368421</v>
      </c>
      <c r="P63">
        <v>2307004</v>
      </c>
      <c r="Q63" s="2">
        <v>3292219</v>
      </c>
      <c r="R63" s="2">
        <v>30245425</v>
      </c>
      <c r="W63" s="11">
        <v>6.3535500000000003</v>
      </c>
      <c r="X63" s="11">
        <v>9.9000000000000005E-2</v>
      </c>
      <c r="Y63">
        <f>SIMULADOR!$G$8</f>
        <v>50</v>
      </c>
    </row>
    <row r="64" spans="1:25" x14ac:dyDescent="0.25">
      <c r="A64">
        <v>63</v>
      </c>
      <c r="B64" t="str">
        <f t="shared" si="0"/>
        <v>Primavera do Leste (MT) - Santos (SP) [1685 km]3</v>
      </c>
      <c r="C64" t="str">
        <f t="shared" si="1"/>
        <v>Primavera do Leste (MT) - Santos (SP) [1685 km]Março</v>
      </c>
      <c r="D64">
        <v>3</v>
      </c>
      <c r="E64" t="s">
        <v>10</v>
      </c>
      <c r="F64" t="str">
        <f t="shared" si="21"/>
        <v>Primavera do Leste (MT) - Santos (SP) [1685 km]</v>
      </c>
      <c r="G64" t="s">
        <v>48</v>
      </c>
      <c r="H64" t="s">
        <v>37</v>
      </c>
      <c r="I64" t="s">
        <v>42</v>
      </c>
      <c r="J64" t="s">
        <v>43</v>
      </c>
      <c r="K64">
        <v>1685</v>
      </c>
      <c r="L64" s="16">
        <v>267.77208333333334</v>
      </c>
      <c r="M64" s="16">
        <f t="shared" si="3"/>
        <v>11.003550000000001</v>
      </c>
      <c r="O64">
        <v>1242.1287878787878</v>
      </c>
      <c r="P64">
        <v>2307004</v>
      </c>
      <c r="Q64" s="2">
        <v>3292219</v>
      </c>
      <c r="R64" s="2">
        <v>30245425</v>
      </c>
      <c r="W64" s="11">
        <v>6.3535500000000003</v>
      </c>
      <c r="X64" s="11">
        <v>9.2999999999999999E-2</v>
      </c>
      <c r="Y64">
        <f>SIMULADOR!$G$8</f>
        <v>50</v>
      </c>
    </row>
    <row r="65" spans="1:25" x14ac:dyDescent="0.25">
      <c r="A65">
        <v>64</v>
      </c>
      <c r="B65" t="str">
        <f t="shared" si="0"/>
        <v>Primavera do Leste (MT) - Santos (SP) [1685 km]4</v>
      </c>
      <c r="C65" t="str">
        <f t="shared" si="1"/>
        <v>Primavera do Leste (MT) - Santos (SP) [1685 km]Abril</v>
      </c>
      <c r="D65">
        <v>4</v>
      </c>
      <c r="E65" t="s">
        <v>11</v>
      </c>
      <c r="F65" t="str">
        <f t="shared" si="21"/>
        <v>Primavera do Leste (MT) - Santos (SP) [1685 km]</v>
      </c>
      <c r="G65" t="s">
        <v>48</v>
      </c>
      <c r="H65" t="s">
        <v>37</v>
      </c>
      <c r="I65" t="s">
        <v>42</v>
      </c>
      <c r="J65" t="s">
        <v>43</v>
      </c>
      <c r="K65">
        <v>1685</v>
      </c>
      <c r="L65" s="16">
        <v>259.77465277777776</v>
      </c>
      <c r="M65" s="16">
        <f t="shared" si="3"/>
        <v>13.46855</v>
      </c>
      <c r="O65">
        <v>1300.7083333333335</v>
      </c>
      <c r="P65">
        <v>2307004</v>
      </c>
      <c r="Q65" s="2">
        <v>3292219</v>
      </c>
      <c r="R65" s="2">
        <v>30245425</v>
      </c>
      <c r="W65" s="11">
        <v>6.3535500000000003</v>
      </c>
      <c r="X65" s="11">
        <v>0.14230000000000001</v>
      </c>
      <c r="Y65">
        <f>SIMULADOR!$G$8</f>
        <v>50</v>
      </c>
    </row>
    <row r="66" spans="1:25" x14ac:dyDescent="0.25">
      <c r="A66">
        <v>65</v>
      </c>
      <c r="B66" t="str">
        <f t="shared" si="0"/>
        <v>Primavera do Leste (MT) - Santos (SP) [1685 km]5</v>
      </c>
      <c r="C66" t="str">
        <f t="shared" si="1"/>
        <v>Primavera do Leste (MT) - Santos (SP) [1685 km]Maio</v>
      </c>
      <c r="D66">
        <v>5</v>
      </c>
      <c r="E66" t="s">
        <v>12</v>
      </c>
      <c r="F66" t="str">
        <f t="shared" si="21"/>
        <v>Primavera do Leste (MT) - Santos (SP) [1685 km]</v>
      </c>
      <c r="G66" t="s">
        <v>48</v>
      </c>
      <c r="H66" t="s">
        <v>37</v>
      </c>
      <c r="I66" t="s">
        <v>42</v>
      </c>
      <c r="J66" t="s">
        <v>43</v>
      </c>
      <c r="K66">
        <v>1685</v>
      </c>
      <c r="L66" s="16">
        <v>251.03645833333331</v>
      </c>
      <c r="M66" s="16">
        <f t="shared" si="3"/>
        <v>12.80855</v>
      </c>
      <c r="O66">
        <v>1440.4206349206347</v>
      </c>
      <c r="P66">
        <v>2307004</v>
      </c>
      <c r="Q66" s="2">
        <v>3292219</v>
      </c>
      <c r="R66" s="2">
        <v>30245425</v>
      </c>
      <c r="W66" s="11">
        <v>6.3535500000000003</v>
      </c>
      <c r="X66" s="11">
        <v>0.12909999999999999</v>
      </c>
      <c r="Y66">
        <f>SIMULADOR!$G$8</f>
        <v>50</v>
      </c>
    </row>
    <row r="67" spans="1:25" x14ac:dyDescent="0.25">
      <c r="A67">
        <v>66</v>
      </c>
      <c r="B67" t="str">
        <f t="shared" ref="B67:B109" si="22">CONCATENATE(F67,D67)</f>
        <v>Primavera do Leste (MT) - Santos (SP) [1685 km]6</v>
      </c>
      <c r="C67" t="str">
        <f t="shared" ref="C67:C109" si="23">CONCATENATE(F67,E67)</f>
        <v>Primavera do Leste (MT) - Santos (SP) [1685 km]Junho</v>
      </c>
      <c r="D67">
        <v>6</v>
      </c>
      <c r="E67" t="s">
        <v>13</v>
      </c>
      <c r="F67" t="str">
        <f t="shared" si="21"/>
        <v>Primavera do Leste (MT) - Santos (SP) [1685 km]</v>
      </c>
      <c r="G67" t="s">
        <v>48</v>
      </c>
      <c r="H67" t="s">
        <v>37</v>
      </c>
      <c r="I67" t="s">
        <v>42</v>
      </c>
      <c r="J67" t="s">
        <v>43</v>
      </c>
      <c r="K67">
        <v>1685</v>
      </c>
      <c r="L67" s="16">
        <v>245.625</v>
      </c>
      <c r="M67" s="16">
        <f t="shared" ref="M67:M109" si="24">W67+X67*Y67</f>
        <v>12.378550000000001</v>
      </c>
      <c r="O67">
        <v>1586.4696969696972</v>
      </c>
      <c r="P67">
        <v>2307004</v>
      </c>
      <c r="Q67" s="2">
        <v>3292219</v>
      </c>
      <c r="R67" s="2">
        <v>30245425</v>
      </c>
      <c r="W67" s="11">
        <v>6.3535500000000003</v>
      </c>
      <c r="X67" s="11">
        <v>0.1205</v>
      </c>
      <c r="Y67">
        <f>SIMULADOR!$G$8</f>
        <v>50</v>
      </c>
    </row>
    <row r="68" spans="1:25" x14ac:dyDescent="0.25">
      <c r="A68">
        <v>67</v>
      </c>
      <c r="B68" t="str">
        <f t="shared" si="22"/>
        <v>Primavera do Leste (MT) - Santos (SP) [1685 km]7</v>
      </c>
      <c r="C68" t="str">
        <f t="shared" si="23"/>
        <v>Primavera do Leste (MT) - Santos (SP) [1685 km]Julho</v>
      </c>
      <c r="D68">
        <v>7</v>
      </c>
      <c r="E68" t="s">
        <v>14</v>
      </c>
      <c r="F68" t="str">
        <f t="shared" si="21"/>
        <v>Primavera do Leste (MT) - Santos (SP) [1685 km]</v>
      </c>
      <c r="G68" t="s">
        <v>48</v>
      </c>
      <c r="H68" t="s">
        <v>37</v>
      </c>
      <c r="I68" t="s">
        <v>42</v>
      </c>
      <c r="J68" t="s">
        <v>43</v>
      </c>
      <c r="K68">
        <v>1685</v>
      </c>
      <c r="L68" s="16">
        <v>228.26249999999999</v>
      </c>
      <c r="M68" s="16">
        <f t="shared" si="24"/>
        <v>10.583549999999999</v>
      </c>
      <c r="O68">
        <v>1457.7380952380952</v>
      </c>
      <c r="P68">
        <v>2307004</v>
      </c>
      <c r="Q68" s="2">
        <v>3292219</v>
      </c>
      <c r="R68" s="2">
        <v>30245425</v>
      </c>
      <c r="W68" s="11">
        <v>6.3535500000000003</v>
      </c>
      <c r="X68" s="11">
        <v>8.4599999999999995E-2</v>
      </c>
      <c r="Y68">
        <f>SIMULADOR!$G$8</f>
        <v>50</v>
      </c>
    </row>
    <row r="69" spans="1:25" x14ac:dyDescent="0.25">
      <c r="A69">
        <v>68</v>
      </c>
      <c r="B69" t="str">
        <f t="shared" si="22"/>
        <v>Primavera do Leste (MT) - Santos (SP) [1685 km]8</v>
      </c>
      <c r="C69" t="str">
        <f t="shared" si="23"/>
        <v>Primavera do Leste (MT) - Santos (SP) [1685 km]Agosto</v>
      </c>
      <c r="D69">
        <v>8</v>
      </c>
      <c r="E69" t="s">
        <v>15</v>
      </c>
      <c r="F69" t="str">
        <f t="shared" si="21"/>
        <v>Primavera do Leste (MT) - Santos (SP) [1685 km]</v>
      </c>
      <c r="G69" t="s">
        <v>48</v>
      </c>
      <c r="H69" t="s">
        <v>37</v>
      </c>
      <c r="I69" t="s">
        <v>42</v>
      </c>
      <c r="J69" t="s">
        <v>43</v>
      </c>
      <c r="K69">
        <v>1685</v>
      </c>
      <c r="L69" s="16">
        <v>206.95</v>
      </c>
      <c r="M69" s="16">
        <f t="shared" si="24"/>
        <v>11.303550000000001</v>
      </c>
      <c r="O69">
        <v>1361.536231884058</v>
      </c>
      <c r="P69">
        <v>2307004</v>
      </c>
      <c r="Q69" s="2">
        <v>3292219</v>
      </c>
      <c r="R69" s="2">
        <v>30245425</v>
      </c>
      <c r="W69" s="11">
        <v>6.3535500000000003</v>
      </c>
      <c r="X69" s="11">
        <v>9.9000000000000005E-2</v>
      </c>
      <c r="Y69">
        <f>SIMULADOR!$G$8</f>
        <v>50</v>
      </c>
    </row>
    <row r="70" spans="1:25" x14ac:dyDescent="0.25">
      <c r="A70">
        <v>69</v>
      </c>
      <c r="B70" t="str">
        <f t="shared" si="22"/>
        <v>Primavera do Leste (MT) - Santos (SP) [1685 km]9</v>
      </c>
      <c r="C70" t="str">
        <f t="shared" si="23"/>
        <v>Primavera do Leste (MT) - Santos (SP) [1685 km]Setembro</v>
      </c>
      <c r="D70">
        <v>9</v>
      </c>
      <c r="E70" t="s">
        <v>16</v>
      </c>
      <c r="F70" t="str">
        <f t="shared" si="21"/>
        <v>Primavera do Leste (MT) - Santos (SP) [1685 km]</v>
      </c>
      <c r="G70" t="s">
        <v>48</v>
      </c>
      <c r="H70" t="s">
        <v>37</v>
      </c>
      <c r="I70" t="s">
        <v>42</v>
      </c>
      <c r="J70" t="s">
        <v>43</v>
      </c>
      <c r="K70">
        <v>1685</v>
      </c>
      <c r="L70" s="16">
        <v>176.79374999999999</v>
      </c>
      <c r="M70" s="16">
        <f t="shared" si="24"/>
        <v>11.003550000000001</v>
      </c>
      <c r="O70">
        <v>1324.9999999999998</v>
      </c>
      <c r="P70">
        <v>2307004</v>
      </c>
      <c r="Q70" s="2">
        <v>3292219</v>
      </c>
      <c r="R70" s="2">
        <v>30245425</v>
      </c>
      <c r="W70" s="11">
        <v>6.3535500000000003</v>
      </c>
      <c r="X70" s="11">
        <v>9.2999999999999999E-2</v>
      </c>
      <c r="Y70">
        <f>SIMULADOR!$G$8</f>
        <v>50</v>
      </c>
    </row>
    <row r="71" spans="1:25" x14ac:dyDescent="0.25">
      <c r="A71">
        <v>70</v>
      </c>
      <c r="B71" t="str">
        <f t="shared" si="22"/>
        <v>Primavera do Leste (MT) - Santos (SP) [1685 km]10</v>
      </c>
      <c r="C71" t="str">
        <f t="shared" si="23"/>
        <v>Primavera do Leste (MT) - Santos (SP) [1685 km]Outubro</v>
      </c>
      <c r="D71">
        <v>10</v>
      </c>
      <c r="E71" t="s">
        <v>17</v>
      </c>
      <c r="F71" t="str">
        <f t="shared" si="21"/>
        <v>Primavera do Leste (MT) - Santos (SP) [1685 km]</v>
      </c>
      <c r="G71" t="s">
        <v>48</v>
      </c>
      <c r="H71" t="s">
        <v>37</v>
      </c>
      <c r="I71" t="s">
        <v>42</v>
      </c>
      <c r="J71" t="s">
        <v>43</v>
      </c>
      <c r="K71">
        <v>1685</v>
      </c>
      <c r="L71" s="16">
        <v>156.42000000000002</v>
      </c>
      <c r="M71" s="16">
        <f t="shared" si="24"/>
        <v>13.46855</v>
      </c>
      <c r="O71">
        <v>1278.3916666666667</v>
      </c>
      <c r="P71">
        <v>2307004</v>
      </c>
      <c r="Q71" s="2">
        <v>3292219</v>
      </c>
      <c r="R71" s="2">
        <v>30245425</v>
      </c>
      <c r="W71" s="11">
        <v>6.3535500000000003</v>
      </c>
      <c r="X71" s="11">
        <v>0.14230000000000001</v>
      </c>
      <c r="Y71">
        <f>SIMULADOR!$G$8</f>
        <v>50</v>
      </c>
    </row>
    <row r="72" spans="1:25" x14ac:dyDescent="0.25">
      <c r="A72">
        <v>71</v>
      </c>
      <c r="B72" t="str">
        <f t="shared" si="22"/>
        <v>Primavera do Leste (MT) - Santos (SP) [1685 km]11</v>
      </c>
      <c r="C72" t="str">
        <f t="shared" si="23"/>
        <v>Primavera do Leste (MT) - Santos (SP) [1685 km]Novembro</v>
      </c>
      <c r="D72">
        <v>11</v>
      </c>
      <c r="E72" t="s">
        <v>18</v>
      </c>
      <c r="F72" t="str">
        <f t="shared" si="21"/>
        <v>Primavera do Leste (MT) - Santos (SP) [1685 km]</v>
      </c>
      <c r="G72" t="s">
        <v>48</v>
      </c>
      <c r="H72" t="s">
        <v>37</v>
      </c>
      <c r="I72" t="s">
        <v>42</v>
      </c>
      <c r="J72" t="s">
        <v>43</v>
      </c>
      <c r="K72">
        <v>1685</v>
      </c>
      <c r="L72" s="16">
        <v>160.80000000000001</v>
      </c>
      <c r="M72" s="16">
        <f t="shared" si="24"/>
        <v>12.80855</v>
      </c>
      <c r="O72">
        <v>1304.5416666666667</v>
      </c>
      <c r="P72">
        <v>2307004</v>
      </c>
      <c r="Q72" s="2">
        <v>3292219</v>
      </c>
      <c r="R72" s="2">
        <v>30245425</v>
      </c>
      <c r="W72" s="11">
        <v>6.3535500000000003</v>
      </c>
      <c r="X72" s="11">
        <v>0.12909999999999999</v>
      </c>
      <c r="Y72">
        <f>SIMULADOR!$G$8</f>
        <v>50</v>
      </c>
    </row>
    <row r="73" spans="1:25" x14ac:dyDescent="0.25">
      <c r="A73">
        <v>72</v>
      </c>
      <c r="B73" t="str">
        <f t="shared" si="22"/>
        <v>Primavera do Leste (MT) - Santos (SP) [1685 km]12</v>
      </c>
      <c r="C73" t="str">
        <f t="shared" si="23"/>
        <v>Primavera do Leste (MT) - Santos (SP) [1685 km]Dezembro</v>
      </c>
      <c r="D73">
        <v>12</v>
      </c>
      <c r="E73" t="s">
        <v>19</v>
      </c>
      <c r="F73" t="str">
        <f t="shared" si="21"/>
        <v>Primavera do Leste (MT) - Santos (SP) [1685 km]</v>
      </c>
      <c r="G73" t="s">
        <v>48</v>
      </c>
      <c r="H73" t="s">
        <v>37</v>
      </c>
      <c r="I73" t="s">
        <v>42</v>
      </c>
      <c r="J73" t="s">
        <v>43</v>
      </c>
      <c r="K73">
        <v>1685</v>
      </c>
      <c r="L73" s="16">
        <v>153.22999999999999</v>
      </c>
      <c r="M73" s="16">
        <f t="shared" si="24"/>
        <v>12.378550000000001</v>
      </c>
      <c r="O73">
        <v>1307.1507936507937</v>
      </c>
      <c r="P73">
        <v>2307004</v>
      </c>
      <c r="Q73" s="2">
        <v>3292219</v>
      </c>
      <c r="R73" s="2">
        <v>30245425</v>
      </c>
      <c r="W73" s="11">
        <v>6.3535500000000003</v>
      </c>
      <c r="X73" s="11">
        <v>0.1205</v>
      </c>
      <c r="Y73">
        <f>SIMULADOR!$G$8</f>
        <v>50</v>
      </c>
    </row>
    <row r="74" spans="1:25" x14ac:dyDescent="0.25">
      <c r="A74">
        <v>73</v>
      </c>
      <c r="B74" t="str">
        <f t="shared" si="22"/>
        <v>Rio Verde (GO) - Santos (SP) [1070 km]1</v>
      </c>
      <c r="C74" t="str">
        <f t="shared" si="23"/>
        <v>Rio Verde (GO) - Santos (SP) [1070 km]Janeiro</v>
      </c>
      <c r="D74">
        <v>1</v>
      </c>
      <c r="E74" t="s">
        <v>9</v>
      </c>
      <c r="F74" t="str">
        <f>CONCATENATE(G74," (",H74,") - ",I74," (",J74,") [",K74," km]")</f>
        <v>Rio Verde (GO) - Santos (SP) [1070 km]</v>
      </c>
      <c r="G74" t="s">
        <v>39</v>
      </c>
      <c r="H74" t="s">
        <v>44</v>
      </c>
      <c r="I74" t="s">
        <v>42</v>
      </c>
      <c r="J74" t="s">
        <v>43</v>
      </c>
      <c r="K74">
        <v>1070</v>
      </c>
      <c r="L74" s="16">
        <v>177.13</v>
      </c>
      <c r="M74" s="16">
        <f t="shared" si="24"/>
        <v>10.583549999999999</v>
      </c>
      <c r="O74">
        <v>1379.1000000000001</v>
      </c>
      <c r="P74">
        <v>1556476</v>
      </c>
      <c r="Q74" s="2">
        <v>5666744</v>
      </c>
      <c r="R74" s="2">
        <v>12626343</v>
      </c>
      <c r="W74" s="11">
        <v>6.3535500000000003</v>
      </c>
      <c r="X74" s="11">
        <v>8.4599999999999995E-2</v>
      </c>
      <c r="Y74">
        <f>SIMULADOR!$G$8</f>
        <v>50</v>
      </c>
    </row>
    <row r="75" spans="1:25" x14ac:dyDescent="0.25">
      <c r="A75">
        <v>74</v>
      </c>
      <c r="B75" t="str">
        <f t="shared" si="22"/>
        <v>Rio Verde (GO) - Santos (SP) [1070 km]2</v>
      </c>
      <c r="C75" t="str">
        <f t="shared" si="23"/>
        <v>Rio Verde (GO) - Santos (SP) [1070 km]Fevereiro</v>
      </c>
      <c r="D75">
        <v>2</v>
      </c>
      <c r="E75" t="s">
        <v>7</v>
      </c>
      <c r="F75" t="str">
        <f t="shared" ref="F75:F85" si="25">CONCATENATE(G75," (",H75,") - ",I75," (",J75,") [",K75," km]")</f>
        <v>Rio Verde (GO) - Santos (SP) [1070 km]</v>
      </c>
      <c r="G75" t="s">
        <v>39</v>
      </c>
      <c r="H75" t="s">
        <v>44</v>
      </c>
      <c r="I75" t="s">
        <v>42</v>
      </c>
      <c r="J75" t="s">
        <v>43</v>
      </c>
      <c r="K75">
        <v>1070</v>
      </c>
      <c r="L75" s="16">
        <v>178.13333333333333</v>
      </c>
      <c r="M75" s="16">
        <f t="shared" si="24"/>
        <v>11.303550000000001</v>
      </c>
      <c r="O75">
        <v>1297.1578947368421</v>
      </c>
      <c r="P75">
        <v>1556476</v>
      </c>
      <c r="Q75" s="2">
        <v>5666744</v>
      </c>
      <c r="R75" s="2">
        <v>12626343</v>
      </c>
      <c r="W75" s="11">
        <v>6.3535500000000003</v>
      </c>
      <c r="X75" s="11">
        <v>9.9000000000000005E-2</v>
      </c>
      <c r="Y75">
        <f>SIMULADOR!$G$8</f>
        <v>50</v>
      </c>
    </row>
    <row r="76" spans="1:25" x14ac:dyDescent="0.25">
      <c r="A76">
        <v>75</v>
      </c>
      <c r="B76" t="str">
        <f t="shared" si="22"/>
        <v>Rio Verde (GO) - Santos (SP) [1070 km]3</v>
      </c>
      <c r="C76" t="str">
        <f t="shared" si="23"/>
        <v>Rio Verde (GO) - Santos (SP) [1070 km]Março</v>
      </c>
      <c r="D76">
        <v>3</v>
      </c>
      <c r="E76" t="s">
        <v>10</v>
      </c>
      <c r="F76" t="str">
        <f t="shared" si="25"/>
        <v>Rio Verde (GO) - Santos (SP) [1070 km]</v>
      </c>
      <c r="G76" t="s">
        <v>39</v>
      </c>
      <c r="H76" t="s">
        <v>44</v>
      </c>
      <c r="I76" t="s">
        <v>42</v>
      </c>
      <c r="J76" t="s">
        <v>43</v>
      </c>
      <c r="K76">
        <v>1070</v>
      </c>
      <c r="L76" s="16">
        <v>181.71116071428571</v>
      </c>
      <c r="M76" s="16">
        <f t="shared" si="24"/>
        <v>11.003550000000001</v>
      </c>
      <c r="O76">
        <v>1242.1287878787878</v>
      </c>
      <c r="P76">
        <v>1556476</v>
      </c>
      <c r="Q76" s="2">
        <v>5666744</v>
      </c>
      <c r="R76" s="2">
        <v>12626343</v>
      </c>
      <c r="W76" s="11">
        <v>6.3535500000000003</v>
      </c>
      <c r="X76" s="11">
        <v>9.2999999999999999E-2</v>
      </c>
      <c r="Y76">
        <f>SIMULADOR!$G$8</f>
        <v>50</v>
      </c>
    </row>
    <row r="77" spans="1:25" x14ac:dyDescent="0.25">
      <c r="A77">
        <v>76</v>
      </c>
      <c r="B77" t="str">
        <f t="shared" si="22"/>
        <v>Rio Verde (GO) - Santos (SP) [1070 km]4</v>
      </c>
      <c r="C77" t="str">
        <f t="shared" si="23"/>
        <v>Rio Verde (GO) - Santos (SP) [1070 km]Abril</v>
      </c>
      <c r="D77">
        <v>4</v>
      </c>
      <c r="E77" t="s">
        <v>11</v>
      </c>
      <c r="F77" t="str">
        <f t="shared" si="25"/>
        <v>Rio Verde (GO) - Santos (SP) [1070 km]</v>
      </c>
      <c r="G77" t="s">
        <v>39</v>
      </c>
      <c r="H77" t="s">
        <v>44</v>
      </c>
      <c r="I77" t="s">
        <v>42</v>
      </c>
      <c r="J77" t="s">
        <v>43</v>
      </c>
      <c r="K77">
        <v>1070</v>
      </c>
      <c r="L77" s="16">
        <v>187.23214285714286</v>
      </c>
      <c r="M77" s="16">
        <f t="shared" si="24"/>
        <v>13.46855</v>
      </c>
      <c r="O77">
        <v>1300.7083333333335</v>
      </c>
      <c r="P77">
        <v>1556476</v>
      </c>
      <c r="Q77" s="2">
        <v>5666744</v>
      </c>
      <c r="R77" s="2">
        <v>12626343</v>
      </c>
      <c r="W77" s="11">
        <v>6.3535500000000003</v>
      </c>
      <c r="X77" s="11">
        <v>0.14230000000000001</v>
      </c>
      <c r="Y77">
        <f>SIMULADOR!$G$8</f>
        <v>50</v>
      </c>
    </row>
    <row r="78" spans="1:25" x14ac:dyDescent="0.25">
      <c r="A78">
        <v>77</v>
      </c>
      <c r="B78" t="str">
        <f t="shared" si="22"/>
        <v>Rio Verde (GO) - Santos (SP) [1070 km]5</v>
      </c>
      <c r="C78" t="str">
        <f t="shared" si="23"/>
        <v>Rio Verde (GO) - Santos (SP) [1070 km]Maio</v>
      </c>
      <c r="D78">
        <v>5</v>
      </c>
      <c r="E78" t="s">
        <v>12</v>
      </c>
      <c r="F78" t="str">
        <f t="shared" si="25"/>
        <v>Rio Verde (GO) - Santos (SP) [1070 km]</v>
      </c>
      <c r="G78" t="s">
        <v>39</v>
      </c>
      <c r="H78" t="s">
        <v>44</v>
      </c>
      <c r="I78" t="s">
        <v>42</v>
      </c>
      <c r="J78" t="s">
        <v>43</v>
      </c>
      <c r="K78">
        <v>1070</v>
      </c>
      <c r="L78" s="16">
        <v>178.14</v>
      </c>
      <c r="M78" s="16">
        <f t="shared" si="24"/>
        <v>12.80855</v>
      </c>
      <c r="O78">
        <v>1440.4206349206347</v>
      </c>
      <c r="P78">
        <v>1556476</v>
      </c>
      <c r="Q78" s="2">
        <v>5666744</v>
      </c>
      <c r="R78" s="2">
        <v>12626343</v>
      </c>
      <c r="W78" s="11">
        <v>6.3535500000000003</v>
      </c>
      <c r="X78" s="11">
        <v>0.12909999999999999</v>
      </c>
      <c r="Y78">
        <f>SIMULADOR!$G$8</f>
        <v>50</v>
      </c>
    </row>
    <row r="79" spans="1:25" x14ac:dyDescent="0.25">
      <c r="A79">
        <v>78</v>
      </c>
      <c r="B79" t="str">
        <f t="shared" si="22"/>
        <v>Rio Verde (GO) - Santos (SP) [1070 km]6</v>
      </c>
      <c r="C79" t="str">
        <f t="shared" si="23"/>
        <v>Rio Verde (GO) - Santos (SP) [1070 km]Junho</v>
      </c>
      <c r="D79">
        <v>6</v>
      </c>
      <c r="E79" t="s">
        <v>13</v>
      </c>
      <c r="F79" t="str">
        <f t="shared" si="25"/>
        <v>Rio Verde (GO) - Santos (SP) [1070 km]</v>
      </c>
      <c r="G79" t="s">
        <v>39</v>
      </c>
      <c r="H79" t="s">
        <v>44</v>
      </c>
      <c r="I79" t="s">
        <v>42</v>
      </c>
      <c r="J79" t="s">
        <v>43</v>
      </c>
      <c r="K79">
        <v>1070</v>
      </c>
      <c r="L79" s="16">
        <v>160.27500000000001</v>
      </c>
      <c r="M79" s="16">
        <f t="shared" si="24"/>
        <v>12.378550000000001</v>
      </c>
      <c r="O79">
        <v>1586.4696969696972</v>
      </c>
      <c r="P79">
        <v>1556476</v>
      </c>
      <c r="Q79" s="2">
        <v>5666744</v>
      </c>
      <c r="R79" s="2">
        <v>12626343</v>
      </c>
      <c r="W79" s="11">
        <v>6.3535500000000003</v>
      </c>
      <c r="X79" s="11">
        <v>0.1205</v>
      </c>
      <c r="Y79">
        <f>SIMULADOR!$G$8</f>
        <v>50</v>
      </c>
    </row>
    <row r="80" spans="1:25" x14ac:dyDescent="0.25">
      <c r="A80">
        <v>79</v>
      </c>
      <c r="B80" t="str">
        <f t="shared" si="22"/>
        <v>Rio Verde (GO) - Santos (SP) [1070 km]7</v>
      </c>
      <c r="C80" t="str">
        <f t="shared" si="23"/>
        <v>Rio Verde (GO) - Santos (SP) [1070 km]Julho</v>
      </c>
      <c r="D80">
        <v>7</v>
      </c>
      <c r="E80" t="s">
        <v>14</v>
      </c>
      <c r="F80" t="str">
        <f t="shared" si="25"/>
        <v>Rio Verde (GO) - Santos (SP) [1070 km]</v>
      </c>
      <c r="G80" t="s">
        <v>39</v>
      </c>
      <c r="H80" t="s">
        <v>44</v>
      </c>
      <c r="I80" t="s">
        <v>42</v>
      </c>
      <c r="J80" t="s">
        <v>43</v>
      </c>
      <c r="K80">
        <v>1070</v>
      </c>
      <c r="L80" s="16">
        <v>145.26</v>
      </c>
      <c r="M80" s="16">
        <f t="shared" si="24"/>
        <v>10.583549999999999</v>
      </c>
      <c r="O80">
        <v>1457.7380952380952</v>
      </c>
      <c r="P80">
        <v>1556476</v>
      </c>
      <c r="Q80" s="2">
        <v>5666744</v>
      </c>
      <c r="R80" s="2">
        <v>12626343</v>
      </c>
      <c r="W80" s="11">
        <v>6.3535500000000003</v>
      </c>
      <c r="X80" s="11">
        <v>8.4599999999999995E-2</v>
      </c>
      <c r="Y80">
        <f>SIMULADOR!$G$8</f>
        <v>50</v>
      </c>
    </row>
    <row r="81" spans="1:25" x14ac:dyDescent="0.25">
      <c r="A81">
        <v>80</v>
      </c>
      <c r="B81" t="str">
        <f t="shared" si="22"/>
        <v>Rio Verde (GO) - Santos (SP) [1070 km]8</v>
      </c>
      <c r="C81" t="str">
        <f t="shared" si="23"/>
        <v>Rio Verde (GO) - Santos (SP) [1070 km]Agosto</v>
      </c>
      <c r="D81">
        <v>8</v>
      </c>
      <c r="E81" t="s">
        <v>15</v>
      </c>
      <c r="F81" t="str">
        <f t="shared" si="25"/>
        <v>Rio Verde (GO) - Santos (SP) [1070 km]</v>
      </c>
      <c r="G81" t="s">
        <v>39</v>
      </c>
      <c r="H81" t="s">
        <v>44</v>
      </c>
      <c r="I81" t="s">
        <v>42</v>
      </c>
      <c r="J81" t="s">
        <v>43</v>
      </c>
      <c r="K81">
        <v>1070</v>
      </c>
      <c r="L81" s="16">
        <v>136.32666666666665</v>
      </c>
      <c r="M81" s="16">
        <f t="shared" si="24"/>
        <v>11.303550000000001</v>
      </c>
      <c r="O81">
        <v>1361.536231884058</v>
      </c>
      <c r="P81">
        <v>1556476</v>
      </c>
      <c r="Q81" s="2">
        <v>5666744</v>
      </c>
      <c r="R81" s="2">
        <v>12626343</v>
      </c>
      <c r="W81" s="11">
        <v>6.3535500000000003</v>
      </c>
      <c r="X81" s="11">
        <v>9.9000000000000005E-2</v>
      </c>
      <c r="Y81">
        <f>SIMULADOR!$G$8</f>
        <v>50</v>
      </c>
    </row>
    <row r="82" spans="1:25" x14ac:dyDescent="0.25">
      <c r="A82">
        <v>81</v>
      </c>
      <c r="B82" t="str">
        <f t="shared" si="22"/>
        <v>Rio Verde (GO) - Santos (SP) [1070 km]9</v>
      </c>
      <c r="C82" t="str">
        <f t="shared" si="23"/>
        <v>Rio Verde (GO) - Santos (SP) [1070 km]Setembro</v>
      </c>
      <c r="D82">
        <v>9</v>
      </c>
      <c r="E82" t="s">
        <v>16</v>
      </c>
      <c r="F82" t="str">
        <f t="shared" si="25"/>
        <v>Rio Verde (GO) - Santos (SP) [1070 km]</v>
      </c>
      <c r="G82" t="s">
        <v>39</v>
      </c>
      <c r="H82" t="s">
        <v>44</v>
      </c>
      <c r="I82" t="s">
        <v>42</v>
      </c>
      <c r="J82" t="s">
        <v>43</v>
      </c>
      <c r="K82">
        <v>1070</v>
      </c>
      <c r="L82" s="16">
        <v>128.875</v>
      </c>
      <c r="M82" s="16">
        <f t="shared" si="24"/>
        <v>11.003550000000001</v>
      </c>
      <c r="O82">
        <v>1324.9999999999998</v>
      </c>
      <c r="P82">
        <v>1556476</v>
      </c>
      <c r="Q82" s="2">
        <v>5666744</v>
      </c>
      <c r="R82" s="2">
        <v>12626343</v>
      </c>
      <c r="W82" s="11">
        <v>6.3535500000000003</v>
      </c>
      <c r="X82" s="11">
        <v>9.2999999999999999E-2</v>
      </c>
      <c r="Y82">
        <f>SIMULADOR!$G$8</f>
        <v>50</v>
      </c>
    </row>
    <row r="83" spans="1:25" x14ac:dyDescent="0.25">
      <c r="A83">
        <v>82</v>
      </c>
      <c r="B83" t="str">
        <f t="shared" si="22"/>
        <v>Rio Verde (GO) - Santos (SP) [1070 km]10</v>
      </c>
      <c r="C83" t="str">
        <f t="shared" si="23"/>
        <v>Rio Verde (GO) - Santos (SP) [1070 km]Outubro</v>
      </c>
      <c r="D83">
        <v>10</v>
      </c>
      <c r="E83" t="s">
        <v>17</v>
      </c>
      <c r="F83" t="str">
        <f t="shared" si="25"/>
        <v>Rio Verde (GO) - Santos (SP) [1070 km]</v>
      </c>
      <c r="G83" t="s">
        <v>39</v>
      </c>
      <c r="H83" t="s">
        <v>44</v>
      </c>
      <c r="I83" t="s">
        <v>42</v>
      </c>
      <c r="J83" t="s">
        <v>43</v>
      </c>
      <c r="K83">
        <v>1070</v>
      </c>
      <c r="L83" s="16">
        <v>118.375</v>
      </c>
      <c r="M83" s="16">
        <f t="shared" si="24"/>
        <v>13.46855</v>
      </c>
      <c r="O83">
        <v>1278.3916666666667</v>
      </c>
      <c r="P83">
        <v>1556476</v>
      </c>
      <c r="Q83" s="2">
        <v>5666744</v>
      </c>
      <c r="R83" s="2">
        <v>12626343</v>
      </c>
      <c r="W83" s="11">
        <v>6.3535500000000003</v>
      </c>
      <c r="X83" s="11">
        <v>0.14230000000000001</v>
      </c>
      <c r="Y83">
        <f>SIMULADOR!$G$8</f>
        <v>50</v>
      </c>
    </row>
    <row r="84" spans="1:25" x14ac:dyDescent="0.25">
      <c r="A84">
        <v>83</v>
      </c>
      <c r="B84" t="str">
        <f t="shared" si="22"/>
        <v>Rio Verde (GO) - Santos (SP) [1070 km]11</v>
      </c>
      <c r="C84" t="str">
        <f t="shared" si="23"/>
        <v>Rio Verde (GO) - Santos (SP) [1070 km]Novembro</v>
      </c>
      <c r="D84">
        <v>11</v>
      </c>
      <c r="E84" t="s">
        <v>18</v>
      </c>
      <c r="F84" t="str">
        <f t="shared" si="25"/>
        <v>Rio Verde (GO) - Santos (SP) [1070 km]</v>
      </c>
      <c r="G84" t="s">
        <v>39</v>
      </c>
      <c r="H84" t="s">
        <v>44</v>
      </c>
      <c r="I84" t="s">
        <v>42</v>
      </c>
      <c r="J84" t="s">
        <v>43</v>
      </c>
      <c r="K84">
        <v>1070</v>
      </c>
      <c r="L84" s="16">
        <v>113.1</v>
      </c>
      <c r="M84" s="16">
        <f t="shared" si="24"/>
        <v>12.80855</v>
      </c>
      <c r="O84">
        <v>1304.5416666666667</v>
      </c>
      <c r="P84">
        <v>1556476</v>
      </c>
      <c r="Q84" s="2">
        <v>5666744</v>
      </c>
      <c r="R84" s="2">
        <v>12626343</v>
      </c>
      <c r="W84" s="11">
        <v>6.3535500000000003</v>
      </c>
      <c r="X84" s="11">
        <v>0.12909999999999999</v>
      </c>
      <c r="Y84">
        <f>SIMULADOR!$G$8</f>
        <v>50</v>
      </c>
    </row>
    <row r="85" spans="1:25" x14ac:dyDescent="0.25">
      <c r="A85">
        <v>84</v>
      </c>
      <c r="B85" t="str">
        <f t="shared" si="22"/>
        <v>Rio Verde (GO) - Santos (SP) [1070 km]12</v>
      </c>
      <c r="C85" t="str">
        <f t="shared" si="23"/>
        <v>Rio Verde (GO) - Santos (SP) [1070 km]Dezembro</v>
      </c>
      <c r="D85">
        <v>12</v>
      </c>
      <c r="E85" t="s">
        <v>19</v>
      </c>
      <c r="F85" t="str">
        <f t="shared" si="25"/>
        <v>Rio Verde (GO) - Santos (SP) [1070 km]</v>
      </c>
      <c r="G85" t="s">
        <v>39</v>
      </c>
      <c r="H85" t="s">
        <v>44</v>
      </c>
      <c r="I85" t="s">
        <v>42</v>
      </c>
      <c r="J85" t="s">
        <v>43</v>
      </c>
      <c r="K85">
        <v>1070</v>
      </c>
      <c r="L85" s="16">
        <v>110.88</v>
      </c>
      <c r="M85" s="16">
        <f t="shared" si="24"/>
        <v>12.378550000000001</v>
      </c>
      <c r="O85">
        <v>1307.1507936507937</v>
      </c>
      <c r="P85">
        <v>1556476</v>
      </c>
      <c r="Q85" s="2">
        <v>5666744</v>
      </c>
      <c r="R85" s="2">
        <v>12626343</v>
      </c>
      <c r="W85" s="11">
        <v>6.3535500000000003</v>
      </c>
      <c r="X85" s="11">
        <v>0.1205</v>
      </c>
      <c r="Y85">
        <f>SIMULADOR!$G$8</f>
        <v>50</v>
      </c>
    </row>
    <row r="86" spans="1:25" x14ac:dyDescent="0.25">
      <c r="A86">
        <v>85</v>
      </c>
      <c r="B86" t="str">
        <f t="shared" si="22"/>
        <v>Sorriso (MT) - Santarém (PA) [1381 km]1</v>
      </c>
      <c r="C86" t="str">
        <f t="shared" si="23"/>
        <v>Sorriso (MT) - Santarém (PA) [1381 km]Janeiro</v>
      </c>
      <c r="D86">
        <v>1</v>
      </c>
      <c r="E86" t="s">
        <v>9</v>
      </c>
      <c r="F86" t="str">
        <f>CONCATENATE(G86," (",H86,") - ",I86," (",J86,") [",K86," km]")</f>
        <v>Sorriso (MT) - Santarém (PA) [1381 km]</v>
      </c>
      <c r="G86" t="s">
        <v>38</v>
      </c>
      <c r="H86" t="s">
        <v>37</v>
      </c>
      <c r="I86" t="s">
        <v>40</v>
      </c>
      <c r="J86" t="s">
        <v>41</v>
      </c>
      <c r="K86">
        <v>1381</v>
      </c>
      <c r="L86" s="16">
        <v>237</v>
      </c>
      <c r="M86" s="16">
        <f t="shared" si="24"/>
        <v>10.583549999999999</v>
      </c>
      <c r="O86">
        <v>1379.1000000000001</v>
      </c>
      <c r="P86">
        <v>3723377</v>
      </c>
      <c r="Q86" s="2">
        <v>8692473</v>
      </c>
      <c r="R86" s="2">
        <v>30245425</v>
      </c>
      <c r="W86" s="11">
        <v>6.3535500000000003</v>
      </c>
      <c r="X86" s="11">
        <v>8.4599999999999995E-2</v>
      </c>
      <c r="Y86">
        <f>SIMULADOR!$G$8</f>
        <v>50</v>
      </c>
    </row>
    <row r="87" spans="1:25" x14ac:dyDescent="0.25">
      <c r="A87">
        <v>86</v>
      </c>
      <c r="B87" t="str">
        <f t="shared" si="22"/>
        <v>Sorriso (MT) - Santarém (PA) [1381 km]2</v>
      </c>
      <c r="C87" t="str">
        <f t="shared" si="23"/>
        <v>Sorriso (MT) - Santarém (PA) [1381 km]Fevereiro</v>
      </c>
      <c r="D87">
        <v>2</v>
      </c>
      <c r="E87" t="s">
        <v>7</v>
      </c>
      <c r="F87" t="str">
        <f t="shared" ref="F87:F97" si="26">CONCATENATE(G87," (",H87,") - ",I87," (",J87,") [",K87," km]")</f>
        <v>Sorriso (MT) - Santarém (PA) [1381 km]</v>
      </c>
      <c r="G87" t="s">
        <v>38</v>
      </c>
      <c r="H87" t="s">
        <v>37</v>
      </c>
      <c r="I87" t="s">
        <v>40</v>
      </c>
      <c r="J87" t="s">
        <v>41</v>
      </c>
      <c r="K87">
        <v>1381</v>
      </c>
      <c r="L87" s="16">
        <v>235.25</v>
      </c>
      <c r="M87" s="16">
        <f t="shared" si="24"/>
        <v>11.303550000000001</v>
      </c>
      <c r="O87">
        <v>1297.1578947368421</v>
      </c>
      <c r="P87">
        <v>3723377</v>
      </c>
      <c r="Q87" s="2">
        <v>8692473</v>
      </c>
      <c r="R87" s="2">
        <v>30245425</v>
      </c>
      <c r="W87" s="11">
        <v>6.3535500000000003</v>
      </c>
      <c r="X87" s="11">
        <v>9.9000000000000005E-2</v>
      </c>
      <c r="Y87">
        <f>SIMULADOR!$G$8</f>
        <v>50</v>
      </c>
    </row>
    <row r="88" spans="1:25" x14ac:dyDescent="0.25">
      <c r="A88">
        <v>87</v>
      </c>
      <c r="B88" t="str">
        <f t="shared" si="22"/>
        <v>Sorriso (MT) - Santarém (PA) [1381 km]3</v>
      </c>
      <c r="C88" t="str">
        <f t="shared" si="23"/>
        <v>Sorriso (MT) - Santarém (PA) [1381 km]Março</v>
      </c>
      <c r="D88">
        <v>3</v>
      </c>
      <c r="E88" t="s">
        <v>10</v>
      </c>
      <c r="F88" t="str">
        <f t="shared" si="26"/>
        <v>Sorriso (MT) - Santarém (PA) [1381 km]</v>
      </c>
      <c r="G88" t="s">
        <v>38</v>
      </c>
      <c r="H88" t="s">
        <v>37</v>
      </c>
      <c r="I88" t="s">
        <v>40</v>
      </c>
      <c r="J88" t="s">
        <v>41</v>
      </c>
      <c r="K88">
        <v>1381</v>
      </c>
      <c r="L88" s="16">
        <v>268</v>
      </c>
      <c r="M88" s="16">
        <f t="shared" si="24"/>
        <v>11.003550000000001</v>
      </c>
      <c r="O88">
        <v>1242.1287878787878</v>
      </c>
      <c r="P88">
        <v>3723377</v>
      </c>
      <c r="Q88" s="2">
        <v>8692473</v>
      </c>
      <c r="R88" s="2">
        <v>30245425</v>
      </c>
      <c r="W88" s="11">
        <v>6.3535500000000003</v>
      </c>
      <c r="X88" s="11">
        <v>9.2999999999999999E-2</v>
      </c>
      <c r="Y88">
        <f>SIMULADOR!$G$8</f>
        <v>50</v>
      </c>
    </row>
    <row r="89" spans="1:25" x14ac:dyDescent="0.25">
      <c r="A89">
        <v>88</v>
      </c>
      <c r="B89" t="str">
        <f t="shared" si="22"/>
        <v>Sorriso (MT) - Santarém (PA) [1381 km]4</v>
      </c>
      <c r="C89" t="str">
        <f t="shared" si="23"/>
        <v>Sorriso (MT) - Santarém (PA) [1381 km]Abril</v>
      </c>
      <c r="D89">
        <v>4</v>
      </c>
      <c r="E89" t="s">
        <v>11</v>
      </c>
      <c r="F89" t="str">
        <f t="shared" si="26"/>
        <v>Sorriso (MT) - Santarém (PA) [1381 km]</v>
      </c>
      <c r="G89" t="s">
        <v>38</v>
      </c>
      <c r="H89" t="s">
        <v>37</v>
      </c>
      <c r="I89" t="s">
        <v>40</v>
      </c>
      <c r="J89" t="s">
        <v>41</v>
      </c>
      <c r="K89">
        <v>1381</v>
      </c>
      <c r="L89" s="16">
        <v>266.5</v>
      </c>
      <c r="M89" s="16">
        <f t="shared" si="24"/>
        <v>13.46855</v>
      </c>
      <c r="O89">
        <v>1300.7083333333335</v>
      </c>
      <c r="P89">
        <v>3723377</v>
      </c>
      <c r="Q89" s="2">
        <v>8692473</v>
      </c>
      <c r="R89" s="2">
        <v>30245425</v>
      </c>
      <c r="W89" s="11">
        <v>6.3535500000000003</v>
      </c>
      <c r="X89" s="11">
        <v>0.14230000000000001</v>
      </c>
      <c r="Y89">
        <f>SIMULADOR!$G$8</f>
        <v>50</v>
      </c>
    </row>
    <row r="90" spans="1:25" x14ac:dyDescent="0.25">
      <c r="A90">
        <v>89</v>
      </c>
      <c r="B90" t="str">
        <f t="shared" si="22"/>
        <v>Sorriso (MT) - Santarém (PA) [1381 km]5</v>
      </c>
      <c r="C90" t="str">
        <f t="shared" si="23"/>
        <v>Sorriso (MT) - Santarém (PA) [1381 km]Maio</v>
      </c>
      <c r="D90">
        <v>5</v>
      </c>
      <c r="E90" t="s">
        <v>12</v>
      </c>
      <c r="F90" t="str">
        <f t="shared" si="26"/>
        <v>Sorriso (MT) - Santarém (PA) [1381 km]</v>
      </c>
      <c r="G90" t="s">
        <v>38</v>
      </c>
      <c r="H90" t="s">
        <v>37</v>
      </c>
      <c r="I90" t="s">
        <v>40</v>
      </c>
      <c r="J90" t="s">
        <v>41</v>
      </c>
      <c r="K90">
        <v>1381</v>
      </c>
      <c r="L90" s="16">
        <v>246.5</v>
      </c>
      <c r="M90" s="16">
        <f t="shared" si="24"/>
        <v>12.80855</v>
      </c>
      <c r="O90">
        <v>1440.4206349206347</v>
      </c>
      <c r="P90">
        <v>3723377</v>
      </c>
      <c r="Q90" s="2">
        <v>8692473</v>
      </c>
      <c r="R90" s="2">
        <v>30245425</v>
      </c>
      <c r="W90" s="11">
        <v>6.3535500000000003</v>
      </c>
      <c r="X90" s="11">
        <v>0.12909999999999999</v>
      </c>
      <c r="Y90">
        <f>SIMULADOR!$G$8</f>
        <v>50</v>
      </c>
    </row>
    <row r="91" spans="1:25" x14ac:dyDescent="0.25">
      <c r="A91">
        <v>90</v>
      </c>
      <c r="B91" t="str">
        <f t="shared" si="22"/>
        <v>Sorriso (MT) - Santarém (PA) [1381 km]6</v>
      </c>
      <c r="C91" t="str">
        <f t="shared" si="23"/>
        <v>Sorriso (MT) - Santarém (PA) [1381 km]Junho</v>
      </c>
      <c r="D91">
        <v>6</v>
      </c>
      <c r="E91" t="s">
        <v>13</v>
      </c>
      <c r="F91" t="str">
        <f t="shared" si="26"/>
        <v>Sorriso (MT) - Santarém (PA) [1381 km]</v>
      </c>
      <c r="G91" t="s">
        <v>38</v>
      </c>
      <c r="H91" t="s">
        <v>37</v>
      </c>
      <c r="I91" t="s">
        <v>40</v>
      </c>
      <c r="J91" t="s">
        <v>41</v>
      </c>
      <c r="K91">
        <v>1381</v>
      </c>
      <c r="L91" s="16">
        <v>242</v>
      </c>
      <c r="M91" s="16">
        <f t="shared" si="24"/>
        <v>12.378550000000001</v>
      </c>
      <c r="O91">
        <v>1586.4696969696972</v>
      </c>
      <c r="P91">
        <v>3723377</v>
      </c>
      <c r="Q91" s="2">
        <v>8692473</v>
      </c>
      <c r="R91" s="2">
        <v>30245425</v>
      </c>
      <c r="W91" s="11">
        <v>6.3535500000000003</v>
      </c>
      <c r="X91" s="11">
        <v>0.1205</v>
      </c>
      <c r="Y91">
        <f>SIMULADOR!$G$8</f>
        <v>50</v>
      </c>
    </row>
    <row r="92" spans="1:25" x14ac:dyDescent="0.25">
      <c r="A92">
        <v>91</v>
      </c>
      <c r="B92" t="str">
        <f t="shared" si="22"/>
        <v>Sorriso (MT) - Santarém (PA) [1381 km]7</v>
      </c>
      <c r="C92" t="str">
        <f t="shared" si="23"/>
        <v>Sorriso (MT) - Santarém (PA) [1381 km]Julho</v>
      </c>
      <c r="D92">
        <v>7</v>
      </c>
      <c r="E92" t="s">
        <v>14</v>
      </c>
      <c r="F92" t="str">
        <f t="shared" si="26"/>
        <v>Sorriso (MT) - Santarém (PA) [1381 km]</v>
      </c>
      <c r="G92" t="s">
        <v>38</v>
      </c>
      <c r="H92" t="s">
        <v>37</v>
      </c>
      <c r="I92" t="s">
        <v>40</v>
      </c>
      <c r="J92" t="s">
        <v>41</v>
      </c>
      <c r="K92">
        <v>1381</v>
      </c>
      <c r="L92" s="16">
        <v>248.25</v>
      </c>
      <c r="M92" s="16">
        <f t="shared" si="24"/>
        <v>10.583549999999999</v>
      </c>
      <c r="O92">
        <v>1457.7380952380952</v>
      </c>
      <c r="P92">
        <v>3723377</v>
      </c>
      <c r="Q92" s="2">
        <v>8692473</v>
      </c>
      <c r="R92" s="2">
        <v>30245425</v>
      </c>
      <c r="W92" s="11">
        <v>6.3535500000000003</v>
      </c>
      <c r="X92" s="11">
        <v>8.4599999999999995E-2</v>
      </c>
      <c r="Y92">
        <f>SIMULADOR!$G$8</f>
        <v>50</v>
      </c>
    </row>
    <row r="93" spans="1:25" x14ac:dyDescent="0.25">
      <c r="A93">
        <v>92</v>
      </c>
      <c r="B93" t="str">
        <f t="shared" si="22"/>
        <v>Sorriso (MT) - Santarém (PA) [1381 km]8</v>
      </c>
      <c r="C93" t="str">
        <f t="shared" si="23"/>
        <v>Sorriso (MT) - Santarém (PA) [1381 km]Agosto</v>
      </c>
      <c r="D93">
        <v>8</v>
      </c>
      <c r="E93" t="s">
        <v>15</v>
      </c>
      <c r="F93" t="str">
        <f t="shared" si="26"/>
        <v>Sorriso (MT) - Santarém (PA) [1381 km]</v>
      </c>
      <c r="G93" t="s">
        <v>38</v>
      </c>
      <c r="H93" t="s">
        <v>37</v>
      </c>
      <c r="I93" t="s">
        <v>40</v>
      </c>
      <c r="J93" t="s">
        <v>41</v>
      </c>
      <c r="K93">
        <v>1381</v>
      </c>
      <c r="L93" s="16">
        <v>231.5</v>
      </c>
      <c r="M93" s="16">
        <f t="shared" si="24"/>
        <v>11.303550000000001</v>
      </c>
      <c r="O93">
        <v>1361.536231884058</v>
      </c>
      <c r="P93">
        <v>3723377</v>
      </c>
      <c r="Q93" s="2">
        <v>8692473</v>
      </c>
      <c r="R93" s="2">
        <v>30245425</v>
      </c>
      <c r="W93" s="11">
        <v>6.3535500000000003</v>
      </c>
      <c r="X93" s="11">
        <v>9.9000000000000005E-2</v>
      </c>
      <c r="Y93">
        <f>SIMULADOR!$G$8</f>
        <v>50</v>
      </c>
    </row>
    <row r="94" spans="1:25" x14ac:dyDescent="0.25">
      <c r="A94">
        <v>93</v>
      </c>
      <c r="B94" t="str">
        <f t="shared" si="22"/>
        <v>Sorriso (MT) - Santarém (PA) [1381 km]9</v>
      </c>
      <c r="C94" t="str">
        <f t="shared" si="23"/>
        <v>Sorriso (MT) - Santarém (PA) [1381 km]Setembro</v>
      </c>
      <c r="D94">
        <v>9</v>
      </c>
      <c r="E94" t="s">
        <v>16</v>
      </c>
      <c r="F94" t="str">
        <f t="shared" si="26"/>
        <v>Sorriso (MT) - Santarém (PA) [1381 km]</v>
      </c>
      <c r="G94" t="s">
        <v>38</v>
      </c>
      <c r="H94" t="s">
        <v>37</v>
      </c>
      <c r="I94" t="s">
        <v>40</v>
      </c>
      <c r="J94" t="s">
        <v>41</v>
      </c>
      <c r="K94">
        <v>1381</v>
      </c>
      <c r="L94" s="16">
        <v>207</v>
      </c>
      <c r="M94" s="16">
        <f t="shared" si="24"/>
        <v>11.003550000000001</v>
      </c>
      <c r="O94">
        <v>1324.9999999999998</v>
      </c>
      <c r="P94">
        <v>3723377</v>
      </c>
      <c r="Q94" s="2">
        <v>8692473</v>
      </c>
      <c r="R94" s="2">
        <v>30245425</v>
      </c>
      <c r="W94" s="11">
        <v>6.3535500000000003</v>
      </c>
      <c r="X94" s="11">
        <v>9.2999999999999999E-2</v>
      </c>
      <c r="Y94">
        <f>SIMULADOR!$G$8</f>
        <v>50</v>
      </c>
    </row>
    <row r="95" spans="1:25" x14ac:dyDescent="0.25">
      <c r="A95">
        <v>94</v>
      </c>
      <c r="B95" t="str">
        <f t="shared" si="22"/>
        <v>Sorriso (MT) - Santarém (PA) [1381 km]10</v>
      </c>
      <c r="C95" t="str">
        <f t="shared" si="23"/>
        <v>Sorriso (MT) - Santarém (PA) [1381 km]Outubro</v>
      </c>
      <c r="D95">
        <v>10</v>
      </c>
      <c r="E95" t="s">
        <v>17</v>
      </c>
      <c r="F95" t="str">
        <f t="shared" si="26"/>
        <v>Sorriso (MT) - Santarém (PA) [1381 km]</v>
      </c>
      <c r="G95" t="s">
        <v>38</v>
      </c>
      <c r="H95" t="s">
        <v>37</v>
      </c>
      <c r="I95" t="s">
        <v>40</v>
      </c>
      <c r="J95" t="s">
        <v>41</v>
      </c>
      <c r="K95">
        <v>1381</v>
      </c>
      <c r="L95" s="16">
        <v>196</v>
      </c>
      <c r="M95" s="16">
        <f t="shared" si="24"/>
        <v>13.46855</v>
      </c>
      <c r="O95">
        <v>1278.3916666666667</v>
      </c>
      <c r="P95">
        <v>3723377</v>
      </c>
      <c r="Q95" s="2">
        <v>8692473</v>
      </c>
      <c r="R95" s="2">
        <v>30245425</v>
      </c>
      <c r="W95" s="11">
        <v>6.3535500000000003</v>
      </c>
      <c r="X95" s="11">
        <v>0.14230000000000001</v>
      </c>
      <c r="Y95">
        <f>SIMULADOR!$G$8</f>
        <v>50</v>
      </c>
    </row>
    <row r="96" spans="1:25" x14ac:dyDescent="0.25">
      <c r="A96">
        <v>95</v>
      </c>
      <c r="B96" t="str">
        <f t="shared" si="22"/>
        <v>Sorriso (MT) - Santarém (PA) [1381 km]11</v>
      </c>
      <c r="C96" t="str">
        <f t="shared" si="23"/>
        <v>Sorriso (MT) - Santarém (PA) [1381 km]Novembro</v>
      </c>
      <c r="D96">
        <v>11</v>
      </c>
      <c r="E96" t="s">
        <v>18</v>
      </c>
      <c r="F96" t="str">
        <f t="shared" si="26"/>
        <v>Sorriso (MT) - Santarém (PA) [1381 km]</v>
      </c>
      <c r="G96" t="s">
        <v>38</v>
      </c>
      <c r="H96" t="s">
        <v>37</v>
      </c>
      <c r="I96" t="s">
        <v>40</v>
      </c>
      <c r="J96" t="s">
        <v>41</v>
      </c>
      <c r="K96">
        <v>1381</v>
      </c>
      <c r="L96" s="16">
        <v>196</v>
      </c>
      <c r="M96" s="16">
        <f t="shared" si="24"/>
        <v>12.80855</v>
      </c>
      <c r="O96">
        <v>1304.5416666666667</v>
      </c>
      <c r="P96">
        <v>3723377</v>
      </c>
      <c r="Q96" s="2">
        <v>8692473</v>
      </c>
      <c r="R96" s="2">
        <v>30245425</v>
      </c>
      <c r="W96" s="11">
        <v>6.3535500000000003</v>
      </c>
      <c r="X96" s="11">
        <v>0.12909999999999999</v>
      </c>
      <c r="Y96">
        <f>SIMULADOR!$G$8</f>
        <v>50</v>
      </c>
    </row>
    <row r="97" spans="1:25" x14ac:dyDescent="0.25">
      <c r="A97">
        <v>96</v>
      </c>
      <c r="B97" t="str">
        <f t="shared" si="22"/>
        <v>Sorriso (MT) - Santarém (PA) [1381 km]12</v>
      </c>
      <c r="C97" t="str">
        <f t="shared" si="23"/>
        <v>Sorriso (MT) - Santarém (PA) [1381 km]Dezembro</v>
      </c>
      <c r="D97">
        <v>12</v>
      </c>
      <c r="E97" t="s">
        <v>19</v>
      </c>
      <c r="F97" t="str">
        <f t="shared" si="26"/>
        <v>Sorriso (MT) - Santarém (PA) [1381 km]</v>
      </c>
      <c r="G97" t="s">
        <v>38</v>
      </c>
      <c r="H97" t="s">
        <v>37</v>
      </c>
      <c r="I97" t="s">
        <v>40</v>
      </c>
      <c r="J97" t="s">
        <v>41</v>
      </c>
      <c r="K97">
        <v>1381</v>
      </c>
      <c r="L97" s="16">
        <v>185</v>
      </c>
      <c r="M97" s="16">
        <f t="shared" si="24"/>
        <v>12.378550000000001</v>
      </c>
      <c r="O97">
        <v>1307.1507936507937</v>
      </c>
      <c r="P97">
        <v>3723377</v>
      </c>
      <c r="Q97" s="2">
        <v>8692473</v>
      </c>
      <c r="R97" s="2">
        <v>30245425</v>
      </c>
      <c r="W97" s="11">
        <v>6.3535500000000003</v>
      </c>
      <c r="X97" s="11">
        <v>0.1205</v>
      </c>
      <c r="Y97">
        <f>SIMULADOR!$G$8</f>
        <v>50</v>
      </c>
    </row>
    <row r="98" spans="1:25" x14ac:dyDescent="0.25">
      <c r="A98">
        <v>97</v>
      </c>
      <c r="B98" t="str">
        <f t="shared" si="22"/>
        <v>Sorriso (MT) - Santos (SP) [2211 km]1</v>
      </c>
      <c r="C98" t="str">
        <f t="shared" si="23"/>
        <v>Sorriso (MT) - Santos (SP) [2211 km]Janeiro</v>
      </c>
      <c r="D98">
        <v>1</v>
      </c>
      <c r="E98" t="s">
        <v>9</v>
      </c>
      <c r="F98" t="str">
        <f>CONCATENATE(G98," (",H98,") - ",I98," (",J98,") [",K98," km]")</f>
        <v>Sorriso (MT) - Santos (SP) [2211 km]</v>
      </c>
      <c r="G98" t="s">
        <v>38</v>
      </c>
      <c r="H98" t="s">
        <v>37</v>
      </c>
      <c r="I98" t="s">
        <v>42</v>
      </c>
      <c r="J98" t="s">
        <v>43</v>
      </c>
      <c r="K98">
        <v>2211</v>
      </c>
      <c r="L98" s="16">
        <v>338.29</v>
      </c>
      <c r="M98" s="16">
        <f t="shared" si="24"/>
        <v>10.583549999999999</v>
      </c>
      <c r="O98">
        <v>1379.1000000000001</v>
      </c>
      <c r="P98">
        <v>3723377</v>
      </c>
      <c r="Q98" s="2">
        <v>8692473</v>
      </c>
      <c r="R98" s="2">
        <v>30245425</v>
      </c>
      <c r="W98" s="11">
        <v>6.3535500000000003</v>
      </c>
      <c r="X98" s="11">
        <v>8.4599999999999995E-2</v>
      </c>
      <c r="Y98">
        <f>SIMULADOR!$G$8</f>
        <v>50</v>
      </c>
    </row>
    <row r="99" spans="1:25" x14ac:dyDescent="0.25">
      <c r="A99">
        <v>98</v>
      </c>
      <c r="B99" t="str">
        <f t="shared" si="22"/>
        <v>Sorriso (MT) - Santos (SP) [2211 km]2</v>
      </c>
      <c r="C99" t="str">
        <f t="shared" si="23"/>
        <v>Sorriso (MT) - Santos (SP) [2211 km]Fevereiro</v>
      </c>
      <c r="D99">
        <v>2</v>
      </c>
      <c r="E99" t="s">
        <v>7</v>
      </c>
      <c r="F99" t="str">
        <f t="shared" ref="F99:F109" si="27">CONCATENATE(G99," (",H99,") - ",I99," (",J99,") [",K99," km]")</f>
        <v>Sorriso (MT) - Santos (SP) [2211 km]</v>
      </c>
      <c r="G99" t="s">
        <v>38</v>
      </c>
      <c r="H99" t="s">
        <v>37</v>
      </c>
      <c r="I99" t="s">
        <v>42</v>
      </c>
      <c r="J99" t="s">
        <v>43</v>
      </c>
      <c r="K99">
        <v>2211</v>
      </c>
      <c r="L99" s="16">
        <v>335.75833333333333</v>
      </c>
      <c r="M99" s="16">
        <f t="shared" si="24"/>
        <v>11.303550000000001</v>
      </c>
      <c r="O99">
        <v>1297.1578947368421</v>
      </c>
      <c r="P99">
        <v>3723377</v>
      </c>
      <c r="Q99" s="2">
        <v>8692473</v>
      </c>
      <c r="R99" s="2">
        <v>30245425</v>
      </c>
      <c r="W99" s="11">
        <v>6.3535500000000003</v>
      </c>
      <c r="X99" s="11">
        <v>9.9000000000000005E-2</v>
      </c>
      <c r="Y99">
        <f>SIMULADOR!$G$8</f>
        <v>50</v>
      </c>
    </row>
    <row r="100" spans="1:25" x14ac:dyDescent="0.25">
      <c r="A100">
        <v>99</v>
      </c>
      <c r="B100" t="str">
        <f t="shared" si="22"/>
        <v>Sorriso (MT) - Santos (SP) [2211 km]3</v>
      </c>
      <c r="C100" t="str">
        <f t="shared" si="23"/>
        <v>Sorriso (MT) - Santos (SP) [2211 km]Março</v>
      </c>
      <c r="D100">
        <v>3</v>
      </c>
      <c r="E100" t="s">
        <v>10</v>
      </c>
      <c r="F100" t="str">
        <f t="shared" si="27"/>
        <v>Sorriso (MT) - Santos (SP) [2211 km]</v>
      </c>
      <c r="G100" t="s">
        <v>38</v>
      </c>
      <c r="H100" t="s">
        <v>37</v>
      </c>
      <c r="I100" t="s">
        <v>42</v>
      </c>
      <c r="J100" t="s">
        <v>43</v>
      </c>
      <c r="K100">
        <v>2211</v>
      </c>
      <c r="L100" s="16">
        <v>315.55113095238096</v>
      </c>
      <c r="M100" s="16">
        <f t="shared" si="24"/>
        <v>11.003550000000001</v>
      </c>
      <c r="O100">
        <v>1242.1287878787878</v>
      </c>
      <c r="P100">
        <v>3723377</v>
      </c>
      <c r="Q100" s="2">
        <v>8692473</v>
      </c>
      <c r="R100" s="2">
        <v>30245425</v>
      </c>
      <c r="W100" s="11">
        <v>6.3535500000000003</v>
      </c>
      <c r="X100" s="11">
        <v>9.2999999999999999E-2</v>
      </c>
      <c r="Y100">
        <f>SIMULADOR!$G$8</f>
        <v>50</v>
      </c>
    </row>
    <row r="101" spans="1:25" x14ac:dyDescent="0.25">
      <c r="A101">
        <v>100</v>
      </c>
      <c r="B101" t="str">
        <f t="shared" si="22"/>
        <v>Sorriso (MT) - Santos (SP) [2211 km]4</v>
      </c>
      <c r="C101" t="str">
        <f t="shared" si="23"/>
        <v>Sorriso (MT) - Santos (SP) [2211 km]Abril</v>
      </c>
      <c r="D101">
        <v>4</v>
      </c>
      <c r="E101" t="s">
        <v>11</v>
      </c>
      <c r="F101" t="str">
        <f t="shared" si="27"/>
        <v>Sorriso (MT) - Santos (SP) [2211 km]</v>
      </c>
      <c r="G101" t="s">
        <v>38</v>
      </c>
      <c r="H101" t="s">
        <v>37</v>
      </c>
      <c r="I101" t="s">
        <v>42</v>
      </c>
      <c r="J101" t="s">
        <v>43</v>
      </c>
      <c r="K101">
        <v>2211</v>
      </c>
      <c r="L101" s="16">
        <v>321.56195000000002</v>
      </c>
      <c r="M101" s="16">
        <f t="shared" si="24"/>
        <v>13.46855</v>
      </c>
      <c r="O101">
        <v>1300.7083333333335</v>
      </c>
      <c r="P101">
        <v>3723377</v>
      </c>
      <c r="Q101" s="2">
        <v>8692473</v>
      </c>
      <c r="R101" s="2">
        <v>30245425</v>
      </c>
      <c r="W101" s="11">
        <v>6.3535500000000003</v>
      </c>
      <c r="X101" s="11">
        <v>0.14230000000000001</v>
      </c>
      <c r="Y101">
        <f>SIMULADOR!$G$8</f>
        <v>50</v>
      </c>
    </row>
    <row r="102" spans="1:25" x14ac:dyDescent="0.25">
      <c r="A102">
        <v>101</v>
      </c>
      <c r="B102" t="str">
        <f t="shared" si="22"/>
        <v>Sorriso (MT) - Santos (SP) [2211 km]5</v>
      </c>
      <c r="C102" t="str">
        <f t="shared" si="23"/>
        <v>Sorriso (MT) - Santos (SP) [2211 km]Maio</v>
      </c>
      <c r="D102">
        <v>5</v>
      </c>
      <c r="E102" t="s">
        <v>12</v>
      </c>
      <c r="F102" t="str">
        <f t="shared" si="27"/>
        <v>Sorriso (MT) - Santos (SP) [2211 km]</v>
      </c>
      <c r="G102" t="s">
        <v>38</v>
      </c>
      <c r="H102" t="s">
        <v>37</v>
      </c>
      <c r="I102" t="s">
        <v>42</v>
      </c>
      <c r="J102" t="s">
        <v>43</v>
      </c>
      <c r="K102">
        <v>2211</v>
      </c>
      <c r="L102" s="16">
        <v>307.63677714285711</v>
      </c>
      <c r="M102" s="16">
        <f t="shared" si="24"/>
        <v>12.80855</v>
      </c>
      <c r="O102">
        <v>1440.4206349206347</v>
      </c>
      <c r="P102">
        <v>3723377</v>
      </c>
      <c r="Q102" s="2">
        <v>8692473</v>
      </c>
      <c r="R102" s="2">
        <v>30245425</v>
      </c>
      <c r="W102" s="11">
        <v>6.3535500000000003</v>
      </c>
      <c r="X102" s="11">
        <v>0.12909999999999999</v>
      </c>
      <c r="Y102">
        <f>SIMULADOR!$G$8</f>
        <v>50</v>
      </c>
    </row>
    <row r="103" spans="1:25" x14ac:dyDescent="0.25">
      <c r="A103">
        <v>102</v>
      </c>
      <c r="B103" t="str">
        <f t="shared" si="22"/>
        <v>Sorriso (MT) - Santos (SP) [2211 km]6</v>
      </c>
      <c r="C103" t="str">
        <f t="shared" si="23"/>
        <v>Sorriso (MT) - Santos (SP) [2211 km]Junho</v>
      </c>
      <c r="D103">
        <v>6</v>
      </c>
      <c r="E103" t="s">
        <v>13</v>
      </c>
      <c r="F103" t="str">
        <f t="shared" si="27"/>
        <v>Sorriso (MT) - Santos (SP) [2211 km]</v>
      </c>
      <c r="G103" t="s">
        <v>38</v>
      </c>
      <c r="H103" t="s">
        <v>37</v>
      </c>
      <c r="I103" t="s">
        <v>42</v>
      </c>
      <c r="J103" t="s">
        <v>43</v>
      </c>
      <c r="K103">
        <v>2211</v>
      </c>
      <c r="L103" s="16">
        <v>301.31853333333333</v>
      </c>
      <c r="M103" s="16">
        <f t="shared" si="24"/>
        <v>12.378550000000001</v>
      </c>
      <c r="O103">
        <v>1586.4696969696972</v>
      </c>
      <c r="P103">
        <v>3723377</v>
      </c>
      <c r="Q103" s="2">
        <v>8692473</v>
      </c>
      <c r="R103" s="2">
        <v>30245425</v>
      </c>
      <c r="W103" s="11">
        <v>6.3535500000000003</v>
      </c>
      <c r="X103" s="11">
        <v>0.1205</v>
      </c>
      <c r="Y103">
        <f>SIMULADOR!$G$8</f>
        <v>50</v>
      </c>
    </row>
    <row r="104" spans="1:25" x14ac:dyDescent="0.25">
      <c r="A104">
        <v>103</v>
      </c>
      <c r="B104" t="str">
        <f t="shared" si="22"/>
        <v>Sorriso (MT) - Santos (SP) [2211 km]7</v>
      </c>
      <c r="C104" t="str">
        <f t="shared" si="23"/>
        <v>Sorriso (MT) - Santos (SP) [2211 km]Julho</v>
      </c>
      <c r="D104">
        <v>7</v>
      </c>
      <c r="E104" t="s">
        <v>14</v>
      </c>
      <c r="F104" t="str">
        <f t="shared" si="27"/>
        <v>Sorriso (MT) - Santos (SP) [2211 km]</v>
      </c>
      <c r="G104" t="s">
        <v>38</v>
      </c>
      <c r="H104" t="s">
        <v>37</v>
      </c>
      <c r="I104" t="s">
        <v>42</v>
      </c>
      <c r="J104" t="s">
        <v>43</v>
      </c>
      <c r="K104">
        <v>2211</v>
      </c>
      <c r="L104" s="16">
        <v>284</v>
      </c>
      <c r="M104" s="16">
        <f t="shared" si="24"/>
        <v>10.583549999999999</v>
      </c>
      <c r="O104">
        <v>1457.7380952380952</v>
      </c>
      <c r="P104">
        <v>3723377</v>
      </c>
      <c r="Q104" s="2">
        <v>8692473</v>
      </c>
      <c r="R104" s="2">
        <v>30245425</v>
      </c>
      <c r="W104" s="11">
        <v>6.3535500000000003</v>
      </c>
      <c r="X104" s="11">
        <v>8.4599999999999995E-2</v>
      </c>
      <c r="Y104">
        <f>SIMULADOR!$G$8</f>
        <v>50</v>
      </c>
    </row>
    <row r="105" spans="1:25" x14ac:dyDescent="0.25">
      <c r="A105">
        <v>104</v>
      </c>
      <c r="B105" t="str">
        <f t="shared" si="22"/>
        <v>Sorriso (MT) - Santos (SP) [2211 km]8</v>
      </c>
      <c r="C105" t="str">
        <f t="shared" si="23"/>
        <v>Sorriso (MT) - Santos (SP) [2211 km]Agosto</v>
      </c>
      <c r="D105">
        <v>8</v>
      </c>
      <c r="E105" t="s">
        <v>15</v>
      </c>
      <c r="F105" t="str">
        <f t="shared" si="27"/>
        <v>Sorriso (MT) - Santos (SP) [2211 km]</v>
      </c>
      <c r="G105" t="s">
        <v>38</v>
      </c>
      <c r="H105" t="s">
        <v>37</v>
      </c>
      <c r="I105" t="s">
        <v>42</v>
      </c>
      <c r="J105" t="s">
        <v>43</v>
      </c>
      <c r="K105">
        <v>2211</v>
      </c>
      <c r="L105" s="16">
        <v>277.02499999999998</v>
      </c>
      <c r="M105" s="16">
        <f t="shared" si="24"/>
        <v>11.303550000000001</v>
      </c>
      <c r="O105">
        <v>1361.536231884058</v>
      </c>
      <c r="P105">
        <v>3723377</v>
      </c>
      <c r="Q105" s="2">
        <v>8692473</v>
      </c>
      <c r="R105" s="2">
        <v>30245425</v>
      </c>
      <c r="W105" s="11">
        <v>6.3535500000000003</v>
      </c>
      <c r="X105" s="11">
        <v>9.9000000000000005E-2</v>
      </c>
      <c r="Y105">
        <f>SIMULADOR!$G$8</f>
        <v>50</v>
      </c>
    </row>
    <row r="106" spans="1:25" x14ac:dyDescent="0.25">
      <c r="A106">
        <v>105</v>
      </c>
      <c r="B106" t="str">
        <f t="shared" si="22"/>
        <v>Sorriso (MT) - Santos (SP) [2211 km]9</v>
      </c>
      <c r="C106" t="str">
        <f t="shared" si="23"/>
        <v>Sorriso (MT) - Santos (SP) [2211 km]Setembro</v>
      </c>
      <c r="D106">
        <v>9</v>
      </c>
      <c r="E106" t="s">
        <v>16</v>
      </c>
      <c r="F106" t="str">
        <f t="shared" si="27"/>
        <v>Sorriso (MT) - Santos (SP) [2211 km]</v>
      </c>
      <c r="G106" t="s">
        <v>38</v>
      </c>
      <c r="H106" t="s">
        <v>37</v>
      </c>
      <c r="I106" t="s">
        <v>42</v>
      </c>
      <c r="J106" t="s">
        <v>43</v>
      </c>
      <c r="K106">
        <v>2211</v>
      </c>
      <c r="L106" s="16">
        <v>254.5</v>
      </c>
      <c r="M106" s="16">
        <f t="shared" si="24"/>
        <v>11.003550000000001</v>
      </c>
      <c r="O106">
        <v>1324.9999999999998</v>
      </c>
      <c r="P106">
        <v>3723377</v>
      </c>
      <c r="Q106" s="2">
        <v>8692473</v>
      </c>
      <c r="R106" s="2">
        <v>30245425</v>
      </c>
      <c r="W106" s="11">
        <v>6.3535500000000003</v>
      </c>
      <c r="X106" s="11">
        <v>9.2999999999999999E-2</v>
      </c>
      <c r="Y106">
        <f>SIMULADOR!$G$8</f>
        <v>50</v>
      </c>
    </row>
    <row r="107" spans="1:25" x14ac:dyDescent="0.25">
      <c r="A107">
        <v>106</v>
      </c>
      <c r="B107" t="str">
        <f t="shared" si="22"/>
        <v>Sorriso (MT) - Santos (SP) [2211 km]10</v>
      </c>
      <c r="C107" t="str">
        <f t="shared" si="23"/>
        <v>Sorriso (MT) - Santos (SP) [2211 km]Outubro</v>
      </c>
      <c r="D107">
        <v>10</v>
      </c>
      <c r="E107" t="s">
        <v>17</v>
      </c>
      <c r="F107" t="str">
        <f t="shared" si="27"/>
        <v>Sorriso (MT) - Santos (SP) [2211 km]</v>
      </c>
      <c r="G107" t="s">
        <v>38</v>
      </c>
      <c r="H107" t="s">
        <v>37</v>
      </c>
      <c r="I107" t="s">
        <v>42</v>
      </c>
      <c r="J107" t="s">
        <v>43</v>
      </c>
      <c r="K107">
        <v>2211</v>
      </c>
      <c r="L107" s="16">
        <v>241.4</v>
      </c>
      <c r="M107" s="16">
        <f t="shared" si="24"/>
        <v>13.46855</v>
      </c>
      <c r="O107">
        <v>1278.3916666666667</v>
      </c>
      <c r="P107">
        <v>3723377</v>
      </c>
      <c r="Q107" s="2">
        <v>8692473</v>
      </c>
      <c r="R107" s="2">
        <v>30245425</v>
      </c>
      <c r="W107" s="11">
        <v>6.3535500000000003</v>
      </c>
      <c r="X107" s="11">
        <v>0.14230000000000001</v>
      </c>
      <c r="Y107">
        <f>SIMULADOR!$G$8</f>
        <v>50</v>
      </c>
    </row>
    <row r="108" spans="1:25" x14ac:dyDescent="0.25">
      <c r="A108">
        <v>107</v>
      </c>
      <c r="B108" t="str">
        <f t="shared" si="22"/>
        <v>Sorriso (MT) - Santos (SP) [2211 km]11</v>
      </c>
      <c r="C108" t="str">
        <f t="shared" si="23"/>
        <v>Sorriso (MT) - Santos (SP) [2211 km]Novembro</v>
      </c>
      <c r="D108">
        <v>11</v>
      </c>
      <c r="E108" t="s">
        <v>18</v>
      </c>
      <c r="F108" t="str">
        <f t="shared" si="27"/>
        <v>Sorriso (MT) - Santos (SP) [2211 km]</v>
      </c>
      <c r="G108" t="s">
        <v>38</v>
      </c>
      <c r="H108" t="s">
        <v>37</v>
      </c>
      <c r="I108" t="s">
        <v>42</v>
      </c>
      <c r="J108" t="s">
        <v>43</v>
      </c>
      <c r="K108">
        <v>2211</v>
      </c>
      <c r="L108" s="16">
        <v>230.375</v>
      </c>
      <c r="M108" s="16">
        <f t="shared" si="24"/>
        <v>12.80855</v>
      </c>
      <c r="O108">
        <v>1304.5416666666667</v>
      </c>
      <c r="P108">
        <v>3723377</v>
      </c>
      <c r="Q108" s="2">
        <v>8692473</v>
      </c>
      <c r="R108" s="2">
        <v>30245425</v>
      </c>
      <c r="W108" s="11">
        <v>6.3535500000000003</v>
      </c>
      <c r="X108" s="11">
        <v>0.12909999999999999</v>
      </c>
      <c r="Y108">
        <f>SIMULADOR!$G$8</f>
        <v>50</v>
      </c>
    </row>
    <row r="109" spans="1:25" x14ac:dyDescent="0.25">
      <c r="A109">
        <v>108</v>
      </c>
      <c r="B109" t="str">
        <f t="shared" si="22"/>
        <v>Sorriso (MT) - Santos (SP) [2211 km]12</v>
      </c>
      <c r="C109" t="str">
        <f t="shared" si="23"/>
        <v>Sorriso (MT) - Santos (SP) [2211 km]Dezembro</v>
      </c>
      <c r="D109">
        <v>12</v>
      </c>
      <c r="E109" t="s">
        <v>19</v>
      </c>
      <c r="F109" t="str">
        <f t="shared" si="27"/>
        <v>Sorriso (MT) - Santos (SP) [2211 km]</v>
      </c>
      <c r="G109" t="s">
        <v>38</v>
      </c>
      <c r="H109" t="s">
        <v>37</v>
      </c>
      <c r="I109" t="s">
        <v>42</v>
      </c>
      <c r="J109" t="s">
        <v>43</v>
      </c>
      <c r="K109">
        <v>2211</v>
      </c>
      <c r="L109" s="16">
        <v>201.58</v>
      </c>
      <c r="M109" s="16">
        <f t="shared" si="24"/>
        <v>12.378550000000001</v>
      </c>
      <c r="O109">
        <v>1307.1507936507937</v>
      </c>
      <c r="P109">
        <v>3723377</v>
      </c>
      <c r="Q109" s="2">
        <v>8692473</v>
      </c>
      <c r="R109" s="2">
        <v>30245425</v>
      </c>
      <c r="W109" s="11">
        <v>6.3535500000000003</v>
      </c>
      <c r="X109" s="11">
        <v>0.1205</v>
      </c>
      <c r="Y109">
        <f>SIMULADOR!$G$8</f>
        <v>50</v>
      </c>
    </row>
  </sheetData>
  <autoFilter ref="E1:R109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9" workbookViewId="0">
      <selection activeCell="L87" sqref="L87"/>
    </sheetView>
  </sheetViews>
  <sheetFormatPr defaultRowHeight="15" x14ac:dyDescent="0.25"/>
  <cols>
    <col min="3" max="3" width="4" bestFit="1" customWidth="1"/>
    <col min="4" max="4" width="23" bestFit="1" customWidth="1"/>
    <col min="5" max="5" width="11.5703125" bestFit="1" customWidth="1"/>
    <col min="6" max="7" width="13.28515625" bestFit="1" customWidth="1"/>
    <col min="8" max="8" width="14.28515625" bestFit="1" customWidth="1"/>
    <col min="9" max="13" width="13.28515625" bestFit="1" customWidth="1"/>
    <col min="14" max="16" width="11.5703125" bestFit="1" customWidth="1"/>
    <col min="17" max="17" width="14.28515625" bestFit="1" customWidth="1"/>
  </cols>
  <sheetData>
    <row r="1" spans="1:17" x14ac:dyDescent="0.25">
      <c r="A1" t="s">
        <v>5</v>
      </c>
      <c r="B1" t="s">
        <v>129</v>
      </c>
      <c r="C1" s="21" t="s">
        <v>35</v>
      </c>
      <c r="D1" s="21" t="s">
        <v>107</v>
      </c>
      <c r="E1" s="21" t="s">
        <v>108</v>
      </c>
      <c r="F1" s="21" t="s">
        <v>109</v>
      </c>
      <c r="G1" s="21" t="s">
        <v>110</v>
      </c>
      <c r="H1" s="21" t="s">
        <v>111</v>
      </c>
      <c r="I1" s="21" t="s">
        <v>112</v>
      </c>
      <c r="J1" s="21" t="s">
        <v>113</v>
      </c>
      <c r="K1" s="21" t="s">
        <v>114</v>
      </c>
      <c r="L1" s="21" t="s">
        <v>115</v>
      </c>
      <c r="M1" s="21" t="s">
        <v>116</v>
      </c>
      <c r="N1" s="21" t="s">
        <v>117</v>
      </c>
      <c r="O1" s="21" t="s">
        <v>118</v>
      </c>
      <c r="P1" s="21" t="s">
        <v>119</v>
      </c>
      <c r="Q1" s="21" t="s">
        <v>120</v>
      </c>
    </row>
    <row r="2" spans="1:17" x14ac:dyDescent="0.25">
      <c r="A2" t="str">
        <f>CONCATENATE(D2,C2)</f>
        <v>Santos (SP)GO</v>
      </c>
      <c r="B2">
        <v>1</v>
      </c>
      <c r="C2" s="21" t="s">
        <v>44</v>
      </c>
      <c r="D2" s="21" t="s">
        <v>125</v>
      </c>
      <c r="E2" s="22">
        <v>0</v>
      </c>
      <c r="F2" s="22">
        <v>79469</v>
      </c>
      <c r="G2" s="22">
        <v>622760</v>
      </c>
      <c r="H2" s="22">
        <v>406248</v>
      </c>
      <c r="I2" s="22">
        <v>385083</v>
      </c>
      <c r="J2" s="22">
        <v>220507</v>
      </c>
      <c r="K2" s="22">
        <v>214471</v>
      </c>
      <c r="L2" s="22">
        <v>102878</v>
      </c>
      <c r="M2" s="22">
        <v>0</v>
      </c>
      <c r="N2" s="22">
        <v>0</v>
      </c>
      <c r="O2" s="22">
        <v>0</v>
      </c>
      <c r="P2" s="22">
        <v>0</v>
      </c>
      <c r="Q2" s="22">
        <v>2031416</v>
      </c>
    </row>
    <row r="3" spans="1:17" x14ac:dyDescent="0.25">
      <c r="A3" t="str">
        <f t="shared" ref="A3:A33" si="0">CONCATENATE(D3,C3)</f>
        <v>Paranaguá (PR)GO</v>
      </c>
      <c r="B3">
        <v>2</v>
      </c>
      <c r="C3" s="21" t="s">
        <v>44</v>
      </c>
      <c r="D3" s="21" t="s">
        <v>123</v>
      </c>
      <c r="E3" s="22">
        <v>0</v>
      </c>
      <c r="F3" s="22">
        <v>4377</v>
      </c>
      <c r="G3" s="22">
        <v>74647</v>
      </c>
      <c r="H3" s="22">
        <v>41646</v>
      </c>
      <c r="I3" s="22">
        <v>14484</v>
      </c>
      <c r="J3" s="22">
        <v>12551</v>
      </c>
      <c r="K3" s="22">
        <v>13745</v>
      </c>
      <c r="L3" s="22">
        <v>18025</v>
      </c>
      <c r="M3" s="22">
        <v>7798</v>
      </c>
      <c r="N3" s="22">
        <v>811</v>
      </c>
      <c r="O3" s="22">
        <v>0</v>
      </c>
      <c r="P3" s="22">
        <v>0</v>
      </c>
      <c r="Q3" s="22">
        <v>188084</v>
      </c>
    </row>
    <row r="4" spans="1:17" x14ac:dyDescent="0.25">
      <c r="A4" t="str">
        <f t="shared" si="0"/>
        <v>São Francisco do Sul (SC)GO</v>
      </c>
      <c r="B4">
        <v>3</v>
      </c>
      <c r="C4" s="21" t="s">
        <v>44</v>
      </c>
      <c r="D4" s="21" t="s">
        <v>126</v>
      </c>
      <c r="E4" s="22">
        <v>0</v>
      </c>
      <c r="F4" s="22">
        <v>1014</v>
      </c>
      <c r="G4" s="22">
        <v>10741</v>
      </c>
      <c r="H4" s="22">
        <v>10582</v>
      </c>
      <c r="I4" s="22">
        <v>15704</v>
      </c>
      <c r="J4" s="22">
        <v>23664</v>
      </c>
      <c r="K4" s="22">
        <v>12120</v>
      </c>
      <c r="L4" s="22">
        <v>11695</v>
      </c>
      <c r="M4" s="22">
        <v>1772</v>
      </c>
      <c r="N4" s="22">
        <v>0</v>
      </c>
      <c r="O4" s="22">
        <v>0</v>
      </c>
      <c r="P4" s="22">
        <v>0</v>
      </c>
      <c r="Q4" s="22">
        <v>87292</v>
      </c>
    </row>
    <row r="5" spans="1:17" x14ac:dyDescent="0.25">
      <c r="A5" t="str">
        <f t="shared" si="0"/>
        <v>Vitória (ES)GO</v>
      </c>
      <c r="B5">
        <v>4</v>
      </c>
      <c r="C5" s="21" t="s">
        <v>44</v>
      </c>
      <c r="D5" s="21" t="s">
        <v>128</v>
      </c>
      <c r="E5" s="22">
        <v>0</v>
      </c>
      <c r="F5" s="22">
        <v>0</v>
      </c>
      <c r="G5" s="22">
        <v>161293</v>
      </c>
      <c r="H5" s="22">
        <v>290446</v>
      </c>
      <c r="I5" s="22">
        <v>169065</v>
      </c>
      <c r="J5" s="22">
        <v>182615</v>
      </c>
      <c r="K5" s="22">
        <v>86147</v>
      </c>
      <c r="L5" s="22">
        <v>126741</v>
      </c>
      <c r="M5" s="22">
        <v>37140</v>
      </c>
      <c r="N5" s="22">
        <v>18479</v>
      </c>
      <c r="O5" s="22">
        <v>0</v>
      </c>
      <c r="P5" s="22">
        <v>0</v>
      </c>
      <c r="Q5" s="22">
        <v>1071926</v>
      </c>
    </row>
    <row r="6" spans="1:17" x14ac:dyDescent="0.25">
      <c r="A6" t="str">
        <f t="shared" si="0"/>
        <v>Barcarena (PA)GO</v>
      </c>
      <c r="B6">
        <v>5</v>
      </c>
      <c r="C6" s="21" t="s">
        <v>44</v>
      </c>
      <c r="D6" s="21" t="s">
        <v>121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</row>
    <row r="7" spans="1:17" x14ac:dyDescent="0.25">
      <c r="A7" t="str">
        <f t="shared" si="0"/>
        <v>Santarém (PA)GO</v>
      </c>
      <c r="B7">
        <v>6</v>
      </c>
      <c r="C7" s="21" t="s">
        <v>44</v>
      </c>
      <c r="D7" s="21" t="s">
        <v>124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</row>
    <row r="8" spans="1:17" x14ac:dyDescent="0.25">
      <c r="A8" t="str">
        <f t="shared" si="0"/>
        <v>São Luís (MA)GO</v>
      </c>
      <c r="B8">
        <v>7</v>
      </c>
      <c r="C8" s="21" t="s">
        <v>44</v>
      </c>
      <c r="D8" s="21" t="s">
        <v>127</v>
      </c>
      <c r="E8" s="22">
        <v>0</v>
      </c>
      <c r="F8" s="22">
        <v>0</v>
      </c>
      <c r="G8" s="22">
        <v>0</v>
      </c>
      <c r="H8" s="22">
        <v>0</v>
      </c>
      <c r="I8" s="22">
        <v>2800</v>
      </c>
      <c r="J8" s="22">
        <v>3147</v>
      </c>
      <c r="K8" s="22">
        <v>2644</v>
      </c>
      <c r="L8" s="22">
        <v>14373</v>
      </c>
      <c r="M8" s="22">
        <v>1555</v>
      </c>
      <c r="N8" s="22">
        <v>0</v>
      </c>
      <c r="O8" s="22">
        <v>0</v>
      </c>
      <c r="P8" s="22">
        <v>0</v>
      </c>
      <c r="Q8" s="22">
        <v>24519</v>
      </c>
    </row>
    <row r="9" spans="1:17" x14ac:dyDescent="0.25">
      <c r="A9" t="str">
        <f t="shared" si="0"/>
        <v>OutrosGO</v>
      </c>
      <c r="B9">
        <v>8</v>
      </c>
      <c r="C9" s="21" t="s">
        <v>44</v>
      </c>
      <c r="D9" s="21" t="s">
        <v>122</v>
      </c>
      <c r="E9" s="22">
        <v>0</v>
      </c>
      <c r="F9" s="22">
        <v>0</v>
      </c>
      <c r="G9" s="22">
        <v>7875</v>
      </c>
      <c r="H9" s="22">
        <v>34667</v>
      </c>
      <c r="I9" s="22">
        <v>34869</v>
      </c>
      <c r="J9" s="22">
        <v>39433</v>
      </c>
      <c r="K9" s="22">
        <v>11383</v>
      </c>
      <c r="L9" s="22">
        <v>0</v>
      </c>
      <c r="M9" s="22">
        <v>27373</v>
      </c>
      <c r="N9" s="22">
        <v>0</v>
      </c>
      <c r="O9" s="22">
        <v>0</v>
      </c>
      <c r="P9" s="22">
        <v>0</v>
      </c>
      <c r="Q9" s="22">
        <v>155600</v>
      </c>
    </row>
    <row r="10" spans="1:17" x14ac:dyDescent="0.25">
      <c r="A10" t="str">
        <f t="shared" si="0"/>
        <v>Santos (SP)MA</v>
      </c>
      <c r="B10">
        <v>9</v>
      </c>
      <c r="C10" s="21" t="s">
        <v>46</v>
      </c>
      <c r="D10" s="21" t="s">
        <v>125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</row>
    <row r="11" spans="1:17" x14ac:dyDescent="0.25">
      <c r="A11" t="str">
        <f t="shared" si="0"/>
        <v>Paranaguá (PR)MA</v>
      </c>
      <c r="B11">
        <v>10</v>
      </c>
      <c r="C11" s="21" t="s">
        <v>46</v>
      </c>
      <c r="D11" s="21" t="s">
        <v>123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</row>
    <row r="12" spans="1:17" x14ac:dyDescent="0.25">
      <c r="A12" t="str">
        <f t="shared" si="0"/>
        <v>São Francisco do Sul (SC)MA</v>
      </c>
      <c r="B12">
        <v>11</v>
      </c>
      <c r="C12" s="21" t="s">
        <v>46</v>
      </c>
      <c r="D12" s="21" t="s">
        <v>126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1:17" x14ac:dyDescent="0.25">
      <c r="A13" t="str">
        <f t="shared" si="0"/>
        <v>Vitória (ES)MA</v>
      </c>
      <c r="B13">
        <v>12</v>
      </c>
      <c r="C13" s="21" t="s">
        <v>46</v>
      </c>
      <c r="D13" s="21" t="s">
        <v>128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</row>
    <row r="14" spans="1:17" x14ac:dyDescent="0.25">
      <c r="A14" t="str">
        <f t="shared" si="0"/>
        <v>Barcarena (PA)MA</v>
      </c>
      <c r="B14">
        <v>13</v>
      </c>
      <c r="C14" s="21" t="s">
        <v>46</v>
      </c>
      <c r="D14" s="21" t="s">
        <v>121</v>
      </c>
      <c r="E14" s="22">
        <v>0</v>
      </c>
      <c r="F14" s="22">
        <v>0</v>
      </c>
      <c r="G14" s="22">
        <v>1300</v>
      </c>
      <c r="H14" s="22">
        <v>1500</v>
      </c>
      <c r="I14" s="22">
        <v>7311</v>
      </c>
      <c r="J14" s="22">
        <v>14927</v>
      </c>
      <c r="K14" s="22">
        <v>2959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27997</v>
      </c>
    </row>
    <row r="15" spans="1:17" x14ac:dyDescent="0.25">
      <c r="A15" t="str">
        <f t="shared" si="0"/>
        <v>Santarém (PA)MA</v>
      </c>
      <c r="B15">
        <v>14</v>
      </c>
      <c r="C15" s="21" t="s">
        <v>46</v>
      </c>
      <c r="D15" s="21" t="s">
        <v>124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x14ac:dyDescent="0.25">
      <c r="A16" t="str">
        <f t="shared" si="0"/>
        <v>São Luís (MA)MA</v>
      </c>
      <c r="B16">
        <v>15</v>
      </c>
      <c r="C16" s="21" t="s">
        <v>46</v>
      </c>
      <c r="D16" s="21" t="s">
        <v>127</v>
      </c>
      <c r="E16" s="22">
        <v>0</v>
      </c>
      <c r="F16" s="22">
        <v>0</v>
      </c>
      <c r="G16" s="22">
        <v>91367</v>
      </c>
      <c r="H16" s="22">
        <v>212311</v>
      </c>
      <c r="I16" s="22">
        <v>152395</v>
      </c>
      <c r="J16" s="22">
        <v>133309</v>
      </c>
      <c r="K16" s="22">
        <v>63920</v>
      </c>
      <c r="L16" s="22">
        <v>129802</v>
      </c>
      <c r="M16" s="22">
        <v>76036</v>
      </c>
      <c r="N16" s="22">
        <v>0</v>
      </c>
      <c r="O16" s="22">
        <v>495</v>
      </c>
      <c r="P16" s="22">
        <v>0</v>
      </c>
      <c r="Q16" s="22">
        <v>859635</v>
      </c>
    </row>
    <row r="17" spans="1:17" x14ac:dyDescent="0.25">
      <c r="A17" t="str">
        <f t="shared" si="0"/>
        <v>OutrosMA</v>
      </c>
      <c r="B17">
        <v>16</v>
      </c>
      <c r="C17" s="21" t="s">
        <v>46</v>
      </c>
      <c r="D17" s="21" t="s">
        <v>122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</row>
    <row r="18" spans="1:17" x14ac:dyDescent="0.25">
      <c r="A18" t="str">
        <f t="shared" si="0"/>
        <v>Santos (SP)MS</v>
      </c>
      <c r="B18">
        <v>17</v>
      </c>
      <c r="C18" s="21" t="s">
        <v>52</v>
      </c>
      <c r="D18" s="21" t="s">
        <v>125</v>
      </c>
      <c r="E18" s="22">
        <v>0</v>
      </c>
      <c r="F18" s="22">
        <v>44634</v>
      </c>
      <c r="G18" s="22">
        <v>368130</v>
      </c>
      <c r="H18" s="22">
        <v>199431</v>
      </c>
      <c r="I18" s="22">
        <v>149948</v>
      </c>
      <c r="J18" s="22">
        <v>58329</v>
      </c>
      <c r="K18" s="22">
        <v>80907</v>
      </c>
      <c r="L18" s="22">
        <v>3913</v>
      </c>
      <c r="M18" s="22">
        <v>2006</v>
      </c>
      <c r="N18" s="22">
        <v>0</v>
      </c>
      <c r="O18" s="22">
        <v>0</v>
      </c>
      <c r="P18" s="22">
        <v>0</v>
      </c>
      <c r="Q18" s="22">
        <v>907298</v>
      </c>
    </row>
    <row r="19" spans="1:17" x14ac:dyDescent="0.25">
      <c r="A19" t="str">
        <f t="shared" si="0"/>
        <v>Paranaguá (PR)MS</v>
      </c>
      <c r="B19">
        <v>18</v>
      </c>
      <c r="C19" s="21" t="s">
        <v>52</v>
      </c>
      <c r="D19" s="21" t="s">
        <v>123</v>
      </c>
      <c r="E19" s="22">
        <v>31126</v>
      </c>
      <c r="F19" s="22">
        <v>31182</v>
      </c>
      <c r="G19" s="22">
        <v>273167</v>
      </c>
      <c r="H19" s="22">
        <v>207273</v>
      </c>
      <c r="I19" s="22">
        <v>162292</v>
      </c>
      <c r="J19" s="22">
        <v>117223</v>
      </c>
      <c r="K19" s="22">
        <v>75094</v>
      </c>
      <c r="L19" s="22">
        <v>61293</v>
      </c>
      <c r="M19" s="22">
        <v>30478</v>
      </c>
      <c r="N19" s="22">
        <v>5992</v>
      </c>
      <c r="O19" s="22">
        <v>0</v>
      </c>
      <c r="P19" s="22">
        <v>0</v>
      </c>
      <c r="Q19" s="22">
        <v>995120</v>
      </c>
    </row>
    <row r="20" spans="1:17" x14ac:dyDescent="0.25">
      <c r="A20" t="str">
        <f t="shared" si="0"/>
        <v>São Francisco do Sul (SC)MS</v>
      </c>
      <c r="B20">
        <v>19</v>
      </c>
      <c r="C20" s="21" t="s">
        <v>52</v>
      </c>
      <c r="D20" s="21" t="s">
        <v>126</v>
      </c>
      <c r="E20" s="22">
        <v>0</v>
      </c>
      <c r="F20" s="22">
        <v>25000</v>
      </c>
      <c r="G20" s="22">
        <v>220721</v>
      </c>
      <c r="H20" s="22">
        <v>124509</v>
      </c>
      <c r="I20" s="22">
        <v>152675</v>
      </c>
      <c r="J20" s="22">
        <v>119960</v>
      </c>
      <c r="K20" s="22">
        <v>133191</v>
      </c>
      <c r="L20" s="22">
        <v>49812</v>
      </c>
      <c r="M20" s="22">
        <v>29877</v>
      </c>
      <c r="N20" s="22">
        <v>574</v>
      </c>
      <c r="O20" s="22">
        <v>0</v>
      </c>
      <c r="P20" s="22">
        <v>0</v>
      </c>
      <c r="Q20" s="22">
        <v>856319</v>
      </c>
    </row>
    <row r="21" spans="1:17" x14ac:dyDescent="0.25">
      <c r="A21" t="str">
        <f t="shared" si="0"/>
        <v>Vitória (ES)MS</v>
      </c>
      <c r="B21">
        <v>20</v>
      </c>
      <c r="C21" s="21" t="s">
        <v>52</v>
      </c>
      <c r="D21" s="21" t="s">
        <v>128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</row>
    <row r="22" spans="1:17" x14ac:dyDescent="0.25">
      <c r="A22" t="str">
        <f t="shared" si="0"/>
        <v>Barcarena (PA)MS</v>
      </c>
      <c r="B22">
        <v>21</v>
      </c>
      <c r="C22" s="21" t="s">
        <v>52</v>
      </c>
      <c r="D22" s="21" t="s">
        <v>121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</row>
    <row r="23" spans="1:17" x14ac:dyDescent="0.25">
      <c r="A23" t="str">
        <f t="shared" si="0"/>
        <v>Santarém (PA)MS</v>
      </c>
      <c r="B23">
        <v>22</v>
      </c>
      <c r="C23" s="21" t="s">
        <v>52</v>
      </c>
      <c r="D23" s="21" t="s">
        <v>124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100</v>
      </c>
      <c r="K23" s="22">
        <v>313</v>
      </c>
      <c r="L23" s="22">
        <v>40</v>
      </c>
      <c r="M23" s="22">
        <v>0</v>
      </c>
      <c r="N23" s="22">
        <v>0</v>
      </c>
      <c r="O23" s="22">
        <v>0</v>
      </c>
      <c r="P23" s="22">
        <v>0</v>
      </c>
      <c r="Q23" s="22">
        <v>453</v>
      </c>
    </row>
    <row r="24" spans="1:17" x14ac:dyDescent="0.25">
      <c r="A24" t="str">
        <f t="shared" si="0"/>
        <v>São Luís (MA)MS</v>
      </c>
      <c r="B24">
        <v>23</v>
      </c>
      <c r="C24" s="21" t="s">
        <v>52</v>
      </c>
      <c r="D24" s="21" t="s">
        <v>127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x14ac:dyDescent="0.25">
      <c r="A25" t="str">
        <f t="shared" si="0"/>
        <v>OutrosMS</v>
      </c>
      <c r="B25">
        <v>24</v>
      </c>
      <c r="C25" s="21" t="s">
        <v>52</v>
      </c>
      <c r="D25" s="21" t="s">
        <v>122</v>
      </c>
      <c r="E25" s="23">
        <v>0</v>
      </c>
      <c r="F25" s="23">
        <v>12492</v>
      </c>
      <c r="G25" s="23">
        <v>55927</v>
      </c>
      <c r="H25" s="23">
        <v>9899</v>
      </c>
      <c r="I25" s="23">
        <v>20679</v>
      </c>
      <c r="J25" s="23">
        <v>13920</v>
      </c>
      <c r="K25" s="23">
        <v>183</v>
      </c>
      <c r="L25" s="23">
        <v>0</v>
      </c>
      <c r="M25" s="23">
        <v>0</v>
      </c>
      <c r="N25" s="23">
        <v>17651</v>
      </c>
      <c r="O25" s="23">
        <v>2763</v>
      </c>
      <c r="P25" s="23">
        <v>0</v>
      </c>
      <c r="Q25" s="23">
        <v>133514</v>
      </c>
    </row>
    <row r="26" spans="1:17" x14ac:dyDescent="0.25">
      <c r="A26" t="str">
        <f t="shared" si="0"/>
        <v>Santos (SP)MT</v>
      </c>
      <c r="B26">
        <v>25</v>
      </c>
      <c r="C26" s="21" t="s">
        <v>37</v>
      </c>
      <c r="D26" s="21" t="s">
        <v>125</v>
      </c>
      <c r="E26" s="22">
        <v>314</v>
      </c>
      <c r="F26" s="22">
        <v>288007</v>
      </c>
      <c r="G26" s="22">
        <v>1961259</v>
      </c>
      <c r="H26" s="22">
        <v>1641791</v>
      </c>
      <c r="I26" s="22">
        <v>1586566</v>
      </c>
      <c r="J26" s="22">
        <v>997729</v>
      </c>
      <c r="K26" s="22">
        <v>550130</v>
      </c>
      <c r="L26" s="22">
        <v>105435</v>
      </c>
      <c r="M26" s="22">
        <v>17129</v>
      </c>
      <c r="N26" s="22">
        <v>0</v>
      </c>
      <c r="O26" s="22">
        <v>0</v>
      </c>
      <c r="P26" s="22">
        <v>0</v>
      </c>
      <c r="Q26" s="22">
        <v>7148360</v>
      </c>
    </row>
    <row r="27" spans="1:17" x14ac:dyDescent="0.25">
      <c r="A27" t="str">
        <f t="shared" si="0"/>
        <v>Paranaguá (PR)MT</v>
      </c>
      <c r="B27">
        <v>26</v>
      </c>
      <c r="C27" s="21" t="s">
        <v>37</v>
      </c>
      <c r="D27" s="21" t="s">
        <v>123</v>
      </c>
      <c r="E27" s="22">
        <v>1980</v>
      </c>
      <c r="F27" s="22">
        <v>117260</v>
      </c>
      <c r="G27" s="22">
        <v>158784</v>
      </c>
      <c r="H27" s="22">
        <v>120834</v>
      </c>
      <c r="I27" s="22">
        <v>75059</v>
      </c>
      <c r="J27" s="22">
        <v>44303</v>
      </c>
      <c r="K27" s="22">
        <v>70963</v>
      </c>
      <c r="L27" s="22">
        <v>17548</v>
      </c>
      <c r="M27" s="22">
        <v>14068</v>
      </c>
      <c r="N27" s="22">
        <v>5752</v>
      </c>
      <c r="O27" s="22">
        <v>0</v>
      </c>
      <c r="P27" s="22">
        <v>3700</v>
      </c>
      <c r="Q27" s="22">
        <v>630251</v>
      </c>
    </row>
    <row r="28" spans="1:17" x14ac:dyDescent="0.25">
      <c r="A28" t="str">
        <f t="shared" si="0"/>
        <v>São Francisco do Sul (SC)MT</v>
      </c>
      <c r="B28">
        <v>27</v>
      </c>
      <c r="C28" s="21" t="s">
        <v>37</v>
      </c>
      <c r="D28" s="21" t="s">
        <v>126</v>
      </c>
      <c r="E28" s="22">
        <v>0</v>
      </c>
      <c r="F28" s="22">
        <v>4120</v>
      </c>
      <c r="G28" s="22">
        <v>55933</v>
      </c>
      <c r="H28" s="22">
        <v>72082</v>
      </c>
      <c r="I28" s="22">
        <v>72026</v>
      </c>
      <c r="J28" s="22">
        <v>127339</v>
      </c>
      <c r="K28" s="22">
        <v>79562</v>
      </c>
      <c r="L28" s="22">
        <v>21626</v>
      </c>
      <c r="M28" s="22">
        <v>1127</v>
      </c>
      <c r="N28" s="22">
        <v>131</v>
      </c>
      <c r="O28" s="22">
        <v>0</v>
      </c>
      <c r="P28" s="22">
        <v>0</v>
      </c>
      <c r="Q28" s="22">
        <v>433946</v>
      </c>
    </row>
    <row r="29" spans="1:17" x14ac:dyDescent="0.25">
      <c r="A29" t="str">
        <f t="shared" si="0"/>
        <v>Vitória (ES)MT</v>
      </c>
      <c r="B29">
        <v>28</v>
      </c>
      <c r="C29" s="21" t="s">
        <v>37</v>
      </c>
      <c r="D29" s="21" t="s">
        <v>128</v>
      </c>
      <c r="E29" s="22">
        <v>0</v>
      </c>
      <c r="F29" s="22">
        <v>0</v>
      </c>
      <c r="G29" s="22">
        <v>164240</v>
      </c>
      <c r="H29" s="22">
        <v>213141</v>
      </c>
      <c r="I29" s="22">
        <v>172955</v>
      </c>
      <c r="J29" s="22">
        <v>130366</v>
      </c>
      <c r="K29" s="22">
        <v>29457</v>
      </c>
      <c r="L29" s="22">
        <v>109177</v>
      </c>
      <c r="M29" s="22">
        <v>54940</v>
      </c>
      <c r="N29" s="22">
        <v>21192</v>
      </c>
      <c r="O29" s="22">
        <v>0</v>
      </c>
      <c r="P29" s="22">
        <v>0</v>
      </c>
      <c r="Q29" s="22">
        <v>895468</v>
      </c>
    </row>
    <row r="30" spans="1:17" x14ac:dyDescent="0.25">
      <c r="A30" t="str">
        <f t="shared" si="0"/>
        <v>Barcarena (PA)MT</v>
      </c>
      <c r="B30">
        <v>29</v>
      </c>
      <c r="C30" s="21" t="s">
        <v>37</v>
      </c>
      <c r="D30" s="21" t="s">
        <v>121</v>
      </c>
      <c r="E30" s="22">
        <v>0</v>
      </c>
      <c r="F30" s="22">
        <v>0</v>
      </c>
      <c r="G30" s="22">
        <v>264940</v>
      </c>
      <c r="H30" s="22">
        <v>335140</v>
      </c>
      <c r="I30" s="22">
        <v>409255</v>
      </c>
      <c r="J30" s="22">
        <v>413511</v>
      </c>
      <c r="K30" s="22">
        <v>190991</v>
      </c>
      <c r="L30" s="22">
        <v>143040</v>
      </c>
      <c r="M30" s="22">
        <v>25657</v>
      </c>
      <c r="N30" s="22">
        <v>0</v>
      </c>
      <c r="O30" s="22">
        <v>0</v>
      </c>
      <c r="P30" s="22">
        <v>30209</v>
      </c>
      <c r="Q30" s="22">
        <v>1812743</v>
      </c>
    </row>
    <row r="31" spans="1:17" x14ac:dyDescent="0.25">
      <c r="A31" t="str">
        <f t="shared" si="0"/>
        <v>Santarém (PA)MT</v>
      </c>
      <c r="B31">
        <v>30</v>
      </c>
      <c r="C31" s="21" t="s">
        <v>37</v>
      </c>
      <c r="D31" s="21" t="s">
        <v>124</v>
      </c>
      <c r="E31" s="22">
        <v>0</v>
      </c>
      <c r="F31" s="22">
        <v>175829</v>
      </c>
      <c r="G31" s="22">
        <v>151313</v>
      </c>
      <c r="H31" s="22">
        <v>333000</v>
      </c>
      <c r="I31" s="22">
        <v>302525</v>
      </c>
      <c r="J31" s="22">
        <v>222469</v>
      </c>
      <c r="K31" s="22">
        <v>63394</v>
      </c>
      <c r="L31" s="22">
        <v>615</v>
      </c>
      <c r="M31" s="22">
        <v>0</v>
      </c>
      <c r="N31" s="22">
        <v>0</v>
      </c>
      <c r="O31" s="22">
        <v>0</v>
      </c>
      <c r="P31" s="22">
        <v>0</v>
      </c>
      <c r="Q31" s="22">
        <v>1249145</v>
      </c>
    </row>
    <row r="32" spans="1:17" x14ac:dyDescent="0.25">
      <c r="A32" t="str">
        <f t="shared" si="0"/>
        <v>São Luís (MA)MT</v>
      </c>
      <c r="B32">
        <v>31</v>
      </c>
      <c r="C32" s="21" t="s">
        <v>37</v>
      </c>
      <c r="D32" s="21" t="s">
        <v>127</v>
      </c>
      <c r="E32" s="22">
        <v>0</v>
      </c>
      <c r="F32" s="22">
        <v>0</v>
      </c>
      <c r="G32" s="22">
        <v>177571</v>
      </c>
      <c r="H32" s="22">
        <v>253008</v>
      </c>
      <c r="I32" s="22">
        <v>223462</v>
      </c>
      <c r="J32" s="22">
        <v>189142</v>
      </c>
      <c r="K32" s="22">
        <v>288326</v>
      </c>
      <c r="L32" s="22">
        <v>116185</v>
      </c>
      <c r="M32" s="22">
        <v>73272</v>
      </c>
      <c r="N32" s="22">
        <v>0</v>
      </c>
      <c r="O32" s="22">
        <v>0</v>
      </c>
      <c r="P32" s="22">
        <v>0</v>
      </c>
      <c r="Q32" s="22">
        <v>1320966</v>
      </c>
    </row>
    <row r="33" spans="1:17" x14ac:dyDescent="0.25">
      <c r="A33" t="str">
        <f t="shared" si="0"/>
        <v>OutrosMT</v>
      </c>
      <c r="B33">
        <v>32</v>
      </c>
      <c r="C33" s="21" t="s">
        <v>37</v>
      </c>
      <c r="D33" s="21" t="s">
        <v>122</v>
      </c>
      <c r="E33" s="23">
        <v>0</v>
      </c>
      <c r="F33" s="23">
        <v>143297</v>
      </c>
      <c r="G33" s="23">
        <v>345928</v>
      </c>
      <c r="H33" s="23">
        <v>322947</v>
      </c>
      <c r="I33" s="23">
        <v>348749</v>
      </c>
      <c r="J33" s="23">
        <v>325526</v>
      </c>
      <c r="K33" s="23">
        <v>100040</v>
      </c>
      <c r="L33" s="23">
        <v>63694</v>
      </c>
      <c r="M33" s="23">
        <v>0</v>
      </c>
      <c r="N33" s="23">
        <v>40120</v>
      </c>
      <c r="O33" s="23">
        <v>40889</v>
      </c>
      <c r="P33" s="23">
        <v>0</v>
      </c>
      <c r="Q33" s="23">
        <v>1731190</v>
      </c>
    </row>
    <row r="35" spans="1:17" x14ac:dyDescent="0.25">
      <c r="C35" s="21" t="s">
        <v>131</v>
      </c>
      <c r="D35" s="21" t="s">
        <v>130</v>
      </c>
      <c r="E35" s="23">
        <v>394422</v>
      </c>
      <c r="F35" s="23">
        <v>2036793</v>
      </c>
      <c r="G35" s="23">
        <v>8373815</v>
      </c>
      <c r="H35" s="23">
        <v>10085886</v>
      </c>
      <c r="I35" s="23">
        <v>9925102</v>
      </c>
      <c r="J35" s="23">
        <v>7761047</v>
      </c>
      <c r="K35" s="23">
        <v>5726055</v>
      </c>
      <c r="L35" s="23">
        <v>3681489</v>
      </c>
      <c r="M35" s="23">
        <v>1374845</v>
      </c>
      <c r="N35" s="23">
        <v>985424</v>
      </c>
      <c r="O35" s="23">
        <v>287406</v>
      </c>
      <c r="P35" s="23">
        <v>596239</v>
      </c>
      <c r="Q35" s="23">
        <v>51228523</v>
      </c>
    </row>
    <row r="39" spans="1:17" x14ac:dyDescent="0.25">
      <c r="C39" t="s">
        <v>132</v>
      </c>
      <c r="E39" s="24" t="str">
        <f>INDEX(frete_rodo!$D$2:$D$9,MATCH(SIMULADOR!D8,frete_rodo!$A$2:$A$9,0),1)</f>
        <v>GO</v>
      </c>
      <c r="F39" t="str">
        <f>IF(E39="MS","MATO GROSSO DO SUL",IF(E39="MT","MATO GROSSO",IF(E39="GO","GOIÁS","MARANHÃO")))</f>
        <v>GOIÁS</v>
      </c>
    </row>
    <row r="40" spans="1:17" x14ac:dyDescent="0.25">
      <c r="C40" t="s">
        <v>5</v>
      </c>
      <c r="D40" s="21" t="s">
        <v>107</v>
      </c>
      <c r="E40" s="25">
        <v>42370</v>
      </c>
      <c r="F40" s="25">
        <v>42401</v>
      </c>
      <c r="G40" s="25">
        <v>42430</v>
      </c>
      <c r="H40" s="25">
        <v>42461</v>
      </c>
      <c r="I40" s="25">
        <v>42491</v>
      </c>
      <c r="J40" s="25">
        <v>42522</v>
      </c>
      <c r="K40" s="25">
        <v>42552</v>
      </c>
      <c r="L40" s="25">
        <v>42583</v>
      </c>
      <c r="M40" s="25">
        <v>42614</v>
      </c>
      <c r="N40" s="25">
        <v>42644</v>
      </c>
      <c r="O40" s="25">
        <v>42675</v>
      </c>
      <c r="P40" s="25">
        <v>42705</v>
      </c>
      <c r="Q40" s="21" t="s">
        <v>120</v>
      </c>
    </row>
    <row r="41" spans="1:17" x14ac:dyDescent="0.25">
      <c r="C41" t="str">
        <f>CONCATENATE(D41,$E$39)</f>
        <v>Santos (SP)GO</v>
      </c>
      <c r="D41" s="21" t="s">
        <v>125</v>
      </c>
      <c r="E41" s="22">
        <f>INDEX(E$1:E$33,MATCH($C41,$A$1:$A$33,0),1)</f>
        <v>0</v>
      </c>
      <c r="F41" s="22">
        <f t="shared" ref="F41:P41" si="1">INDEX(F$1:F$33,MATCH($C41,$A$1:$A$33,0),1)</f>
        <v>79469</v>
      </c>
      <c r="G41" s="22">
        <f t="shared" si="1"/>
        <v>622760</v>
      </c>
      <c r="H41" s="22">
        <f t="shared" si="1"/>
        <v>406248</v>
      </c>
      <c r="I41" s="22">
        <f t="shared" si="1"/>
        <v>385083</v>
      </c>
      <c r="J41" s="22">
        <f t="shared" si="1"/>
        <v>220507</v>
      </c>
      <c r="K41" s="22">
        <f t="shared" si="1"/>
        <v>214471</v>
      </c>
      <c r="L41" s="22">
        <f t="shared" si="1"/>
        <v>102878</v>
      </c>
      <c r="M41" s="22">
        <f t="shared" si="1"/>
        <v>0</v>
      </c>
      <c r="N41" s="22">
        <f t="shared" si="1"/>
        <v>0</v>
      </c>
      <c r="O41" s="22">
        <f t="shared" si="1"/>
        <v>0</v>
      </c>
      <c r="P41" s="22">
        <f t="shared" si="1"/>
        <v>0</v>
      </c>
      <c r="Q41" s="22">
        <f>INDEX(Q$1:Q$33,MATCH($C41,$A$1:$A$33,0),1)</f>
        <v>2031416</v>
      </c>
    </row>
    <row r="42" spans="1:17" x14ac:dyDescent="0.25">
      <c r="C42" t="str">
        <f t="shared" ref="C42:C48" si="2">CONCATENATE(D42,$E$39)</f>
        <v>Paranaguá (PR)GO</v>
      </c>
      <c r="D42" s="21" t="s">
        <v>123</v>
      </c>
      <c r="E42" s="22">
        <f t="shared" ref="E42:Q48" si="3">INDEX(E$1:E$33,MATCH($C42,$A$1:$A$33,0),1)</f>
        <v>0</v>
      </c>
      <c r="F42" s="22">
        <f t="shared" si="3"/>
        <v>4377</v>
      </c>
      <c r="G42" s="22">
        <f t="shared" si="3"/>
        <v>74647</v>
      </c>
      <c r="H42" s="22">
        <f t="shared" si="3"/>
        <v>41646</v>
      </c>
      <c r="I42" s="22">
        <f t="shared" si="3"/>
        <v>14484</v>
      </c>
      <c r="J42" s="22">
        <f t="shared" si="3"/>
        <v>12551</v>
      </c>
      <c r="K42" s="22">
        <f t="shared" si="3"/>
        <v>13745</v>
      </c>
      <c r="L42" s="22">
        <f t="shared" si="3"/>
        <v>18025</v>
      </c>
      <c r="M42" s="22">
        <f t="shared" si="3"/>
        <v>7798</v>
      </c>
      <c r="N42" s="22">
        <f t="shared" si="3"/>
        <v>811</v>
      </c>
      <c r="O42" s="22">
        <f t="shared" si="3"/>
        <v>0</v>
      </c>
      <c r="P42" s="22">
        <f t="shared" si="3"/>
        <v>0</v>
      </c>
      <c r="Q42" s="22">
        <f t="shared" si="3"/>
        <v>188084</v>
      </c>
    </row>
    <row r="43" spans="1:17" x14ac:dyDescent="0.25">
      <c r="C43" t="str">
        <f t="shared" si="2"/>
        <v>São Francisco do Sul (SC)GO</v>
      </c>
      <c r="D43" s="21" t="s">
        <v>126</v>
      </c>
      <c r="E43" s="22">
        <f t="shared" si="3"/>
        <v>0</v>
      </c>
      <c r="F43" s="22">
        <f t="shared" si="3"/>
        <v>1014</v>
      </c>
      <c r="G43" s="22">
        <f t="shared" si="3"/>
        <v>10741</v>
      </c>
      <c r="H43" s="22">
        <f t="shared" si="3"/>
        <v>10582</v>
      </c>
      <c r="I43" s="22">
        <f t="shared" si="3"/>
        <v>15704</v>
      </c>
      <c r="J43" s="22">
        <f t="shared" si="3"/>
        <v>23664</v>
      </c>
      <c r="K43" s="22">
        <f t="shared" si="3"/>
        <v>12120</v>
      </c>
      <c r="L43" s="22">
        <f t="shared" si="3"/>
        <v>11695</v>
      </c>
      <c r="M43" s="22">
        <f t="shared" si="3"/>
        <v>1772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2">
        <f t="shared" si="3"/>
        <v>87292</v>
      </c>
    </row>
    <row r="44" spans="1:17" x14ac:dyDescent="0.25">
      <c r="C44" t="str">
        <f t="shared" si="2"/>
        <v>Vitória (ES)GO</v>
      </c>
      <c r="D44" s="21" t="s">
        <v>128</v>
      </c>
      <c r="E44" s="22">
        <f t="shared" si="3"/>
        <v>0</v>
      </c>
      <c r="F44" s="22">
        <f t="shared" si="3"/>
        <v>0</v>
      </c>
      <c r="G44" s="22">
        <f t="shared" si="3"/>
        <v>161293</v>
      </c>
      <c r="H44" s="22">
        <f t="shared" si="3"/>
        <v>290446</v>
      </c>
      <c r="I44" s="22">
        <f t="shared" si="3"/>
        <v>169065</v>
      </c>
      <c r="J44" s="22">
        <f t="shared" si="3"/>
        <v>182615</v>
      </c>
      <c r="K44" s="22">
        <f t="shared" si="3"/>
        <v>86147</v>
      </c>
      <c r="L44" s="22">
        <f t="shared" si="3"/>
        <v>126741</v>
      </c>
      <c r="M44" s="22">
        <f t="shared" si="3"/>
        <v>37140</v>
      </c>
      <c r="N44" s="22">
        <f t="shared" si="3"/>
        <v>18479</v>
      </c>
      <c r="O44" s="22">
        <f t="shared" si="3"/>
        <v>0</v>
      </c>
      <c r="P44" s="22">
        <f t="shared" si="3"/>
        <v>0</v>
      </c>
      <c r="Q44" s="22">
        <f t="shared" si="3"/>
        <v>1071926</v>
      </c>
    </row>
    <row r="45" spans="1:17" x14ac:dyDescent="0.25">
      <c r="C45" t="str">
        <f t="shared" si="2"/>
        <v>Barcarena (PA)GO</v>
      </c>
      <c r="D45" s="21" t="s">
        <v>121</v>
      </c>
      <c r="E45" s="22">
        <f t="shared" si="3"/>
        <v>0</v>
      </c>
      <c r="F45" s="22">
        <f t="shared" si="3"/>
        <v>0</v>
      </c>
      <c r="G45" s="22">
        <f t="shared" si="3"/>
        <v>0</v>
      </c>
      <c r="H45" s="22">
        <f t="shared" si="3"/>
        <v>0</v>
      </c>
      <c r="I45" s="22">
        <f t="shared" si="3"/>
        <v>0</v>
      </c>
      <c r="J45" s="22">
        <f t="shared" si="3"/>
        <v>0</v>
      </c>
      <c r="K45" s="22">
        <f t="shared" si="3"/>
        <v>0</v>
      </c>
      <c r="L45" s="22">
        <f t="shared" si="3"/>
        <v>0</v>
      </c>
      <c r="M45" s="22">
        <f t="shared" si="3"/>
        <v>0</v>
      </c>
      <c r="N45" s="22">
        <f t="shared" si="3"/>
        <v>0</v>
      </c>
      <c r="O45" s="22">
        <f t="shared" si="3"/>
        <v>0</v>
      </c>
      <c r="P45" s="22">
        <f t="shared" si="3"/>
        <v>0</v>
      </c>
      <c r="Q45" s="22">
        <f t="shared" si="3"/>
        <v>0</v>
      </c>
    </row>
    <row r="46" spans="1:17" x14ac:dyDescent="0.25">
      <c r="C46" t="str">
        <f t="shared" si="2"/>
        <v>Santarém (PA)GO</v>
      </c>
      <c r="D46" s="21" t="s">
        <v>124</v>
      </c>
      <c r="E46" s="22">
        <f t="shared" si="3"/>
        <v>0</v>
      </c>
      <c r="F46" s="22">
        <f t="shared" si="3"/>
        <v>0</v>
      </c>
      <c r="G46" s="22">
        <f t="shared" si="3"/>
        <v>0</v>
      </c>
      <c r="H46" s="22">
        <f t="shared" si="3"/>
        <v>0</v>
      </c>
      <c r="I46" s="22">
        <f t="shared" si="3"/>
        <v>0</v>
      </c>
      <c r="J46" s="22">
        <f t="shared" si="3"/>
        <v>0</v>
      </c>
      <c r="K46" s="22">
        <f t="shared" si="3"/>
        <v>0</v>
      </c>
      <c r="L46" s="22">
        <f t="shared" si="3"/>
        <v>0</v>
      </c>
      <c r="M46" s="22">
        <f t="shared" si="3"/>
        <v>0</v>
      </c>
      <c r="N46" s="22">
        <f t="shared" si="3"/>
        <v>0</v>
      </c>
      <c r="O46" s="22">
        <f t="shared" si="3"/>
        <v>0</v>
      </c>
      <c r="P46" s="22">
        <f t="shared" si="3"/>
        <v>0</v>
      </c>
      <c r="Q46" s="22">
        <f t="shared" si="3"/>
        <v>0</v>
      </c>
    </row>
    <row r="47" spans="1:17" x14ac:dyDescent="0.25">
      <c r="C47" t="str">
        <f t="shared" si="2"/>
        <v>São Luís (MA)GO</v>
      </c>
      <c r="D47" s="21" t="s">
        <v>127</v>
      </c>
      <c r="E47" s="22">
        <f t="shared" si="3"/>
        <v>0</v>
      </c>
      <c r="F47" s="22">
        <f t="shared" si="3"/>
        <v>0</v>
      </c>
      <c r="G47" s="22">
        <f t="shared" si="3"/>
        <v>0</v>
      </c>
      <c r="H47" s="22">
        <f t="shared" si="3"/>
        <v>0</v>
      </c>
      <c r="I47" s="22">
        <f t="shared" si="3"/>
        <v>2800</v>
      </c>
      <c r="J47" s="22">
        <f t="shared" si="3"/>
        <v>3147</v>
      </c>
      <c r="K47" s="22">
        <f t="shared" si="3"/>
        <v>2644</v>
      </c>
      <c r="L47" s="22">
        <f t="shared" si="3"/>
        <v>14373</v>
      </c>
      <c r="M47" s="22">
        <f t="shared" si="3"/>
        <v>1555</v>
      </c>
      <c r="N47" s="22">
        <f t="shared" si="3"/>
        <v>0</v>
      </c>
      <c r="O47" s="22">
        <f t="shared" si="3"/>
        <v>0</v>
      </c>
      <c r="P47" s="22">
        <f t="shared" si="3"/>
        <v>0</v>
      </c>
      <c r="Q47" s="22">
        <f t="shared" si="3"/>
        <v>24519</v>
      </c>
    </row>
    <row r="48" spans="1:17" x14ac:dyDescent="0.25">
      <c r="C48" t="str">
        <f t="shared" si="2"/>
        <v>OutrosGO</v>
      </c>
      <c r="D48" s="21" t="s">
        <v>122</v>
      </c>
      <c r="E48" s="22">
        <f t="shared" si="3"/>
        <v>0</v>
      </c>
      <c r="F48" s="22">
        <f t="shared" si="3"/>
        <v>0</v>
      </c>
      <c r="G48" s="22">
        <f t="shared" si="3"/>
        <v>7875</v>
      </c>
      <c r="H48" s="22">
        <f t="shared" si="3"/>
        <v>34667</v>
      </c>
      <c r="I48" s="22">
        <f t="shared" si="3"/>
        <v>34869</v>
      </c>
      <c r="J48" s="22">
        <f t="shared" si="3"/>
        <v>39433</v>
      </c>
      <c r="K48" s="22">
        <f t="shared" si="3"/>
        <v>11383</v>
      </c>
      <c r="L48" s="22">
        <f t="shared" si="3"/>
        <v>0</v>
      </c>
      <c r="M48" s="22">
        <f t="shared" si="3"/>
        <v>27373</v>
      </c>
      <c r="N48" s="22">
        <f t="shared" si="3"/>
        <v>0</v>
      </c>
      <c r="O48" s="22">
        <f t="shared" si="3"/>
        <v>0</v>
      </c>
      <c r="P48" s="22">
        <f t="shared" si="3"/>
        <v>0</v>
      </c>
      <c r="Q48" s="22">
        <f t="shared" si="3"/>
        <v>155600</v>
      </c>
    </row>
  </sheetData>
  <autoFilter ref="B1:Q33">
    <sortState ref="B2:Q33">
      <sortCondition ref="C1:C33"/>
    </sortState>
  </autoFilter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L87" sqref="L87"/>
    </sheetView>
  </sheetViews>
  <sheetFormatPr defaultRowHeight="15" x14ac:dyDescent="0.25"/>
  <cols>
    <col min="1" max="1" width="4" bestFit="1" customWidth="1"/>
    <col min="2" max="2" width="18.140625" bestFit="1" customWidth="1"/>
    <col min="3" max="3" width="33.28515625" bestFit="1" customWidth="1"/>
    <col min="4" max="4" width="16.85546875" bestFit="1" customWidth="1"/>
    <col min="5" max="5" width="18" bestFit="1" customWidth="1"/>
    <col min="6" max="6" width="14.7109375" bestFit="1" customWidth="1"/>
    <col min="7" max="7" width="14.42578125" bestFit="1" customWidth="1"/>
    <col min="8" max="8" width="15.85546875" bestFit="1" customWidth="1"/>
    <col min="9" max="9" width="20.7109375" bestFit="1" customWidth="1"/>
    <col min="10" max="10" width="20.7109375" customWidth="1"/>
    <col min="11" max="11" width="44" bestFit="1" customWidth="1"/>
  </cols>
  <sheetData>
    <row r="1" spans="1:12" x14ac:dyDescent="0.25">
      <c r="A1" s="11" t="s">
        <v>35</v>
      </c>
      <c r="B1" s="11" t="s">
        <v>136</v>
      </c>
      <c r="C1" s="11" t="s">
        <v>135</v>
      </c>
      <c r="D1" t="s">
        <v>66</v>
      </c>
      <c r="E1" t="s">
        <v>68</v>
      </c>
      <c r="F1" t="s">
        <v>67</v>
      </c>
      <c r="G1" t="s">
        <v>155</v>
      </c>
      <c r="H1" t="s">
        <v>156</v>
      </c>
      <c r="I1" t="s">
        <v>157</v>
      </c>
      <c r="K1" t="s">
        <v>5</v>
      </c>
      <c r="L1" t="s">
        <v>152</v>
      </c>
    </row>
    <row r="2" spans="1:12" x14ac:dyDescent="0.25">
      <c r="A2" t="s">
        <v>46</v>
      </c>
      <c r="B2" t="s">
        <v>158</v>
      </c>
      <c r="D2">
        <v>514370</v>
      </c>
      <c r="E2" s="2">
        <v>1054522</v>
      </c>
      <c r="F2" s="2">
        <v>2261797</v>
      </c>
      <c r="H2" s="2">
        <v>1809234</v>
      </c>
      <c r="I2" s="2">
        <v>3497338</v>
      </c>
      <c r="K2" t="s">
        <v>139</v>
      </c>
      <c r="L2" t="s">
        <v>147</v>
      </c>
    </row>
    <row r="3" spans="1:12" x14ac:dyDescent="0.25">
      <c r="A3" t="s">
        <v>37</v>
      </c>
      <c r="B3" t="s">
        <v>159</v>
      </c>
      <c r="D3">
        <v>38065</v>
      </c>
      <c r="E3" s="2">
        <v>403844</v>
      </c>
      <c r="F3" s="2">
        <v>30245425</v>
      </c>
      <c r="H3" s="2">
        <v>667097</v>
      </c>
      <c r="I3" s="2">
        <v>49204249</v>
      </c>
      <c r="K3" t="s">
        <v>140</v>
      </c>
      <c r="L3" t="s">
        <v>49</v>
      </c>
    </row>
    <row r="4" spans="1:12" x14ac:dyDescent="0.25">
      <c r="A4" t="s">
        <v>44</v>
      </c>
      <c r="B4" t="s">
        <v>160</v>
      </c>
      <c r="D4">
        <v>584152</v>
      </c>
      <c r="E4" s="2">
        <v>1206255</v>
      </c>
      <c r="F4" s="2">
        <v>12626343</v>
      </c>
      <c r="H4" s="2">
        <v>2599227</v>
      </c>
      <c r="I4" s="2">
        <v>18118713</v>
      </c>
      <c r="K4" t="s">
        <v>141</v>
      </c>
      <c r="L4" t="s">
        <v>148</v>
      </c>
    </row>
    <row r="5" spans="1:12" x14ac:dyDescent="0.25">
      <c r="A5" t="s">
        <v>52</v>
      </c>
      <c r="B5" t="s">
        <v>161</v>
      </c>
      <c r="D5">
        <v>1040021</v>
      </c>
      <c r="E5" s="2">
        <v>4292486</v>
      </c>
      <c r="F5" s="2">
        <v>8274117</v>
      </c>
      <c r="H5" s="2">
        <v>9512960</v>
      </c>
      <c r="I5" s="2">
        <v>16843637</v>
      </c>
      <c r="K5" t="s">
        <v>142</v>
      </c>
      <c r="L5" t="s">
        <v>51</v>
      </c>
    </row>
    <row r="6" spans="1:12" x14ac:dyDescent="0.25">
      <c r="A6" t="s">
        <v>44</v>
      </c>
      <c r="B6" t="s">
        <v>162</v>
      </c>
      <c r="D6">
        <v>318963</v>
      </c>
      <c r="E6" s="2">
        <v>1857487</v>
      </c>
      <c r="F6" s="2">
        <v>12626343</v>
      </c>
      <c r="H6" s="2">
        <v>1470790</v>
      </c>
      <c r="I6" s="2">
        <v>18118713</v>
      </c>
      <c r="K6" t="s">
        <v>143</v>
      </c>
      <c r="L6" t="s">
        <v>149</v>
      </c>
    </row>
    <row r="7" spans="1:12" x14ac:dyDescent="0.25">
      <c r="A7" t="s">
        <v>37</v>
      </c>
      <c r="B7" t="s">
        <v>163</v>
      </c>
      <c r="D7">
        <v>2307004</v>
      </c>
      <c r="E7" s="2">
        <v>3292219</v>
      </c>
      <c r="F7" s="2">
        <v>30245425</v>
      </c>
      <c r="H7" s="2">
        <v>2736725</v>
      </c>
      <c r="I7" s="2">
        <v>49204249</v>
      </c>
      <c r="K7" t="s">
        <v>133</v>
      </c>
      <c r="L7" t="s">
        <v>48</v>
      </c>
    </row>
    <row r="8" spans="1:12" x14ac:dyDescent="0.25">
      <c r="A8" t="s">
        <v>44</v>
      </c>
      <c r="B8" t="s">
        <v>164</v>
      </c>
      <c r="D8">
        <v>1556476</v>
      </c>
      <c r="E8" s="2">
        <v>5666744</v>
      </c>
      <c r="F8" s="2">
        <v>12626343</v>
      </c>
      <c r="H8" s="2">
        <v>9070130</v>
      </c>
      <c r="I8" s="2">
        <v>18118713</v>
      </c>
      <c r="K8" t="s">
        <v>144</v>
      </c>
      <c r="L8" t="s">
        <v>150</v>
      </c>
    </row>
    <row r="9" spans="1:12" x14ac:dyDescent="0.25">
      <c r="A9" t="s">
        <v>37</v>
      </c>
      <c r="B9" t="s">
        <v>165</v>
      </c>
      <c r="D9">
        <v>3723377</v>
      </c>
      <c r="E9" s="2">
        <v>8692473</v>
      </c>
      <c r="F9" s="2">
        <v>30245425</v>
      </c>
      <c r="H9" s="2">
        <v>13706244</v>
      </c>
      <c r="I9" s="2">
        <v>49204249</v>
      </c>
      <c r="K9" t="s">
        <v>145</v>
      </c>
      <c r="L9" t="s">
        <v>151</v>
      </c>
    </row>
    <row r="13" spans="1:12" x14ac:dyDescent="0.25">
      <c r="B13" s="10" t="str">
        <f>INDEX(B2:B9,MATCH(D13,K2:K9),1)</f>
        <v>CRISTALINA</v>
      </c>
      <c r="C13" s="24" t="str">
        <f>INDEX(frete_rodo!$D$2:$D$9,MATCH(SIMULADOR!D8,frete_rodo!$A$2:$A$9,0),1)</f>
        <v>GO</v>
      </c>
      <c r="D13" s="27" t="str">
        <f>SIMULADOR!D8</f>
        <v>Cristalina (GO) - Santos (SP) [954 km]</v>
      </c>
    </row>
    <row r="14" spans="1:12" x14ac:dyDescent="0.25">
      <c r="I14" t="s">
        <v>146</v>
      </c>
      <c r="J14" t="s">
        <v>153</v>
      </c>
      <c r="K14" t="s">
        <v>154</v>
      </c>
    </row>
    <row r="15" spans="1:12" x14ac:dyDescent="0.25">
      <c r="I15">
        <v>501668</v>
      </c>
      <c r="J15">
        <v>1192245</v>
      </c>
      <c r="K15" s="1">
        <v>2099507</v>
      </c>
    </row>
    <row r="16" spans="1:12" x14ac:dyDescent="0.25">
      <c r="E16" t="s">
        <v>172</v>
      </c>
      <c r="F16" t="s">
        <v>167</v>
      </c>
      <c r="G16" t="s">
        <v>168</v>
      </c>
      <c r="I16">
        <v>23272</v>
      </c>
      <c r="J16">
        <v>425448</v>
      </c>
      <c r="K16" s="1">
        <v>27850954</v>
      </c>
    </row>
    <row r="17" spans="4:11" x14ac:dyDescent="0.25">
      <c r="D17" t="s">
        <v>35</v>
      </c>
      <c r="E17" s="1">
        <f>F17-G17</f>
        <v>-5492370</v>
      </c>
      <c r="F17" s="1">
        <f>SUMIF(K2:K9,D13,F2:F9)</f>
        <v>12626343</v>
      </c>
      <c r="G17" s="1">
        <f>SUMIF(K2:K9,D13,I2:I9)</f>
        <v>18118713</v>
      </c>
      <c r="I17">
        <v>567600</v>
      </c>
      <c r="J17">
        <v>1396013</v>
      </c>
      <c r="K17" s="1">
        <v>8606210</v>
      </c>
    </row>
    <row r="18" spans="4:11" x14ac:dyDescent="0.25">
      <c r="D18" t="s">
        <v>152</v>
      </c>
      <c r="E18" s="1">
        <f>F18-G18</f>
        <v>-1392972</v>
      </c>
      <c r="F18" s="1">
        <f>SUMIF(K2:K9,D13,E2:E9)</f>
        <v>1206255</v>
      </c>
      <c r="G18" s="1">
        <f>SUMIF(K2:K9,D13,H2:H9)</f>
        <v>2599227</v>
      </c>
      <c r="I18">
        <v>450000</v>
      </c>
      <c r="J18">
        <v>3806600</v>
      </c>
      <c r="K18" s="1">
        <v>7132808</v>
      </c>
    </row>
    <row r="19" spans="4:11" x14ac:dyDescent="0.25">
      <c r="I19">
        <v>177000</v>
      </c>
      <c r="J19">
        <v>1014221</v>
      </c>
      <c r="K19" s="1">
        <v>8606210</v>
      </c>
    </row>
    <row r="20" spans="4:11" x14ac:dyDescent="0.25">
      <c r="I20">
        <v>806933</v>
      </c>
      <c r="J20">
        <v>1460993</v>
      </c>
      <c r="K20" s="1">
        <v>27850954</v>
      </c>
    </row>
    <row r="21" spans="4:11" x14ac:dyDescent="0.25">
      <c r="I21">
        <v>744000</v>
      </c>
      <c r="J21">
        <v>3179530</v>
      </c>
      <c r="K21" s="1">
        <v>8606210</v>
      </c>
    </row>
    <row r="22" spans="4:11" x14ac:dyDescent="0.25">
      <c r="I22">
        <v>1951710</v>
      </c>
      <c r="J22">
        <v>6933214</v>
      </c>
      <c r="K22" s="1">
        <v>27850954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opLeftCell="B1" workbookViewId="0">
      <selection activeCell="L87" sqref="L87"/>
    </sheetView>
  </sheetViews>
  <sheetFormatPr defaultRowHeight="15" x14ac:dyDescent="0.25"/>
  <cols>
    <col min="1" max="1" width="44" bestFit="1" customWidth="1"/>
    <col min="2" max="2" width="7.42578125" bestFit="1" customWidth="1"/>
    <col min="3" max="3" width="18.140625" bestFit="1" customWidth="1"/>
    <col min="4" max="4" width="4" bestFit="1" customWidth="1"/>
    <col min="5" max="5" width="18.140625" bestFit="1" customWidth="1"/>
    <col min="6" max="6" width="4" bestFit="1" customWidth="1"/>
    <col min="7" max="7" width="9" bestFit="1" customWidth="1"/>
    <col min="8" max="8" width="10.5703125" bestFit="1" customWidth="1"/>
    <col min="9" max="20" width="12" bestFit="1" customWidth="1"/>
  </cols>
  <sheetData>
    <row r="1" spans="1:20" x14ac:dyDescent="0.25">
      <c r="A1" t="s">
        <v>5</v>
      </c>
      <c r="B1" t="s">
        <v>54</v>
      </c>
      <c r="C1" t="s">
        <v>34</v>
      </c>
      <c r="D1" t="s">
        <v>35</v>
      </c>
      <c r="E1" t="s">
        <v>36</v>
      </c>
      <c r="F1" t="s">
        <v>35</v>
      </c>
      <c r="G1" t="s">
        <v>29</v>
      </c>
      <c r="H1" s="4">
        <v>42370</v>
      </c>
      <c r="I1" s="4">
        <v>42401</v>
      </c>
      <c r="J1" s="4">
        <v>42430</v>
      </c>
      <c r="K1" s="4">
        <v>42461</v>
      </c>
      <c r="L1" s="4">
        <v>42491</v>
      </c>
      <c r="M1" s="4">
        <v>42522</v>
      </c>
      <c r="N1" s="4">
        <v>42552</v>
      </c>
      <c r="O1" s="4">
        <v>42583</v>
      </c>
      <c r="P1" s="4">
        <v>42614</v>
      </c>
      <c r="Q1" s="4">
        <v>42644</v>
      </c>
      <c r="R1" s="4">
        <v>42675</v>
      </c>
      <c r="S1" s="4">
        <v>42705</v>
      </c>
      <c r="T1" s="4"/>
    </row>
    <row r="2" spans="1:20" x14ac:dyDescent="0.25">
      <c r="A2" t="str">
        <f>CONCATENATE(C2," (",D2,") - ",E2," (",F2,") [",G2," km]")</f>
        <v>Balsas (MA) - São Luís (MA) [834 km]</v>
      </c>
      <c r="B2">
        <v>1</v>
      </c>
      <c r="C2" t="s">
        <v>47</v>
      </c>
      <c r="D2" t="s">
        <v>46</v>
      </c>
      <c r="E2" t="s">
        <v>45</v>
      </c>
      <c r="F2" t="s">
        <v>46</v>
      </c>
      <c r="G2">
        <v>834</v>
      </c>
      <c r="H2" s="16">
        <v>117.5</v>
      </c>
      <c r="I2" s="16">
        <v>115.25</v>
      </c>
      <c r="J2" s="16">
        <v>109.89125</v>
      </c>
      <c r="K2" s="16">
        <v>122.8642857142857</v>
      </c>
      <c r="L2" s="16">
        <v>121.41666666666666</v>
      </c>
      <c r="M2" s="16">
        <v>114.21428571428572</v>
      </c>
      <c r="N2" s="16">
        <v>111.30803571428572</v>
      </c>
      <c r="O2" s="16">
        <v>107.36666666666667</v>
      </c>
      <c r="P2" s="16">
        <v>99.5</v>
      </c>
      <c r="Q2" s="16">
        <v>99.75</v>
      </c>
      <c r="R2" s="16">
        <v>105</v>
      </c>
      <c r="S2" s="16">
        <v>110</v>
      </c>
    </row>
    <row r="3" spans="1:20" x14ac:dyDescent="0.25">
      <c r="A3" t="str">
        <f t="shared" ref="A3:A9" si="0">CONCATENATE(C3," (",D3,") - ",E3," (",F3,") [",G3," km]")</f>
        <v>Colíder (MT) - Santos (SP) [2430 km]</v>
      </c>
      <c r="B3">
        <v>2</v>
      </c>
      <c r="C3" t="s">
        <v>49</v>
      </c>
      <c r="D3" t="s">
        <v>37</v>
      </c>
      <c r="E3" t="s">
        <v>42</v>
      </c>
      <c r="F3" t="s">
        <v>43</v>
      </c>
      <c r="G3">
        <v>2430</v>
      </c>
      <c r="H3" s="16">
        <v>343.07</v>
      </c>
      <c r="I3" s="16">
        <v>332.35199999999998</v>
      </c>
      <c r="J3" s="16">
        <v>326.96199999999999</v>
      </c>
      <c r="K3" s="16">
        <v>328.58050000000003</v>
      </c>
      <c r="L3" s="16">
        <v>302.41250000000002</v>
      </c>
      <c r="M3" s="16">
        <v>293.22950000000003</v>
      </c>
      <c r="N3" s="16">
        <v>292.75099999999998</v>
      </c>
      <c r="O3" s="16">
        <v>286.1225</v>
      </c>
      <c r="P3" s="16">
        <v>274.75299999999999</v>
      </c>
      <c r="Q3" s="16">
        <v>269.21100000000001</v>
      </c>
      <c r="R3" s="16">
        <v>255.39599999999999</v>
      </c>
      <c r="S3" s="16">
        <v>235</v>
      </c>
    </row>
    <row r="4" spans="1:20" x14ac:dyDescent="0.25">
      <c r="A4" t="str">
        <f t="shared" si="0"/>
        <v>Cristalina (GO) - Santos (SP) [954 km]</v>
      </c>
      <c r="B4">
        <v>3</v>
      </c>
      <c r="C4" t="s">
        <v>50</v>
      </c>
      <c r="D4" t="s">
        <v>44</v>
      </c>
      <c r="E4" t="s">
        <v>42</v>
      </c>
      <c r="F4" t="s">
        <v>43</v>
      </c>
      <c r="G4">
        <v>954</v>
      </c>
      <c r="H4" s="16">
        <v>172.24</v>
      </c>
      <c r="I4" s="16">
        <v>169.7467</v>
      </c>
      <c r="J4" s="16">
        <v>189.2</v>
      </c>
      <c r="K4" s="16">
        <v>199.60000000000002</v>
      </c>
      <c r="L4" s="16">
        <v>186.5</v>
      </c>
      <c r="M4" s="16">
        <v>173.77499999999998</v>
      </c>
      <c r="N4" s="16">
        <v>161.47</v>
      </c>
      <c r="O4" s="16">
        <v>153.63909999999998</v>
      </c>
      <c r="P4" s="16">
        <v>131.2593</v>
      </c>
      <c r="Q4" s="16">
        <v>117</v>
      </c>
      <c r="R4" s="16">
        <v>107.6</v>
      </c>
      <c r="S4" s="16">
        <v>108.5</v>
      </c>
    </row>
    <row r="5" spans="1:20" x14ac:dyDescent="0.25">
      <c r="A5" t="str">
        <f t="shared" si="0"/>
        <v>Dourados (MS) - Santos (SP) [1069 km]</v>
      </c>
      <c r="B5">
        <v>4</v>
      </c>
      <c r="C5" t="s">
        <v>51</v>
      </c>
      <c r="D5" t="s">
        <v>52</v>
      </c>
      <c r="E5" t="s">
        <v>42</v>
      </c>
      <c r="F5" t="s">
        <v>43</v>
      </c>
      <c r="G5">
        <v>1069</v>
      </c>
      <c r="H5" s="16">
        <v>165</v>
      </c>
      <c r="I5" s="16">
        <v>165</v>
      </c>
      <c r="J5" s="16">
        <v>165</v>
      </c>
      <c r="K5" s="16">
        <v>172.8</v>
      </c>
      <c r="L5" s="16">
        <v>180.77420000000001</v>
      </c>
      <c r="M5" s="16">
        <v>183.48790000000002</v>
      </c>
      <c r="N5" s="16">
        <v>165</v>
      </c>
      <c r="O5" s="16">
        <v>165</v>
      </c>
      <c r="P5" s="16">
        <v>148.10000000000002</v>
      </c>
      <c r="Q5" s="16">
        <v>133</v>
      </c>
      <c r="R5" s="16">
        <v>119.15</v>
      </c>
      <c r="S5" s="16">
        <v>113.94</v>
      </c>
    </row>
    <row r="6" spans="1:20" x14ac:dyDescent="0.25">
      <c r="A6" t="str">
        <f t="shared" si="0"/>
        <v>Goiatuba (GO) - Santos (SP) [840 km]</v>
      </c>
      <c r="B6">
        <v>5</v>
      </c>
      <c r="C6" t="s">
        <v>53</v>
      </c>
      <c r="D6" t="s">
        <v>44</v>
      </c>
      <c r="E6" t="s">
        <v>42</v>
      </c>
      <c r="F6" t="s">
        <v>43</v>
      </c>
      <c r="G6">
        <v>840</v>
      </c>
      <c r="H6" s="16">
        <v>151.38999999999999</v>
      </c>
      <c r="I6" s="16">
        <v>157.21350000000001</v>
      </c>
      <c r="J6" s="16">
        <v>154.5</v>
      </c>
      <c r="K6" s="16">
        <v>170</v>
      </c>
      <c r="L6" s="16">
        <v>170.999</v>
      </c>
      <c r="M6" s="16">
        <v>163.75900000000001</v>
      </c>
      <c r="N6" s="16">
        <v>145.517</v>
      </c>
      <c r="O6" s="16">
        <v>137.45750000000001</v>
      </c>
      <c r="P6" s="16">
        <v>124.75</v>
      </c>
      <c r="Q6" s="16">
        <v>110.45</v>
      </c>
      <c r="R6" s="16">
        <v>100.325</v>
      </c>
      <c r="S6" s="16">
        <v>96</v>
      </c>
    </row>
    <row r="7" spans="1:20" x14ac:dyDescent="0.25">
      <c r="A7" t="str">
        <f t="shared" si="0"/>
        <v>Primavera do Leste (MT) - Santos (SP) [1685 km]</v>
      </c>
      <c r="B7">
        <v>6</v>
      </c>
      <c r="C7" t="s">
        <v>48</v>
      </c>
      <c r="D7" t="s">
        <v>37</v>
      </c>
      <c r="E7" t="s">
        <v>42</v>
      </c>
      <c r="F7" t="s">
        <v>43</v>
      </c>
      <c r="G7">
        <v>1685</v>
      </c>
      <c r="H7" s="16">
        <v>272.62</v>
      </c>
      <c r="I7" s="16">
        <v>267.22000000000003</v>
      </c>
      <c r="J7" s="16">
        <v>267.77208333333334</v>
      </c>
      <c r="K7" s="16">
        <v>259.77465277777776</v>
      </c>
      <c r="L7" s="16">
        <v>251.03645833333331</v>
      </c>
      <c r="M7" s="16">
        <v>245.625</v>
      </c>
      <c r="N7" s="16">
        <v>228.26249999999999</v>
      </c>
      <c r="O7" s="16">
        <v>206.95</v>
      </c>
      <c r="P7" s="16">
        <v>176.79374999999999</v>
      </c>
      <c r="Q7" s="16">
        <v>156.42000000000002</v>
      </c>
      <c r="R7" s="16">
        <v>160.80000000000001</v>
      </c>
      <c r="S7" s="16">
        <v>153.22999999999999</v>
      </c>
    </row>
    <row r="8" spans="1:20" x14ac:dyDescent="0.25">
      <c r="A8" t="str">
        <f t="shared" si="0"/>
        <v>Rio Verde (GO) - Santos (SP) [1070 km]</v>
      </c>
      <c r="B8">
        <v>7</v>
      </c>
      <c r="C8" t="s">
        <v>39</v>
      </c>
      <c r="D8" t="s">
        <v>44</v>
      </c>
      <c r="E8" t="s">
        <v>42</v>
      </c>
      <c r="F8" t="s">
        <v>43</v>
      </c>
      <c r="G8">
        <v>1070</v>
      </c>
      <c r="H8" s="16">
        <v>177.13</v>
      </c>
      <c r="I8" s="16">
        <v>178.13333333333333</v>
      </c>
      <c r="J8" s="16">
        <v>181.71116071428571</v>
      </c>
      <c r="K8" s="16">
        <v>187.23214285714286</v>
      </c>
      <c r="L8" s="16">
        <v>178.14</v>
      </c>
      <c r="M8" s="16">
        <v>160.27500000000001</v>
      </c>
      <c r="N8" s="16">
        <v>145.26</v>
      </c>
      <c r="O8" s="16">
        <v>136.32666666666665</v>
      </c>
      <c r="P8" s="16">
        <v>128.875</v>
      </c>
      <c r="Q8" s="16">
        <v>118.375</v>
      </c>
      <c r="R8" s="16">
        <v>113.1</v>
      </c>
      <c r="S8" s="16">
        <v>110.88</v>
      </c>
    </row>
    <row r="9" spans="1:20" x14ac:dyDescent="0.25">
      <c r="A9" t="str">
        <f t="shared" si="0"/>
        <v>Sorriso (MT) - Santos (SP) [2211 km]</v>
      </c>
      <c r="B9">
        <v>8</v>
      </c>
      <c r="C9" t="s">
        <v>38</v>
      </c>
      <c r="D9" t="s">
        <v>37</v>
      </c>
      <c r="E9" t="s">
        <v>42</v>
      </c>
      <c r="F9" t="s">
        <v>43</v>
      </c>
      <c r="G9">
        <v>2211</v>
      </c>
      <c r="H9" s="16">
        <v>338.29</v>
      </c>
      <c r="I9" s="16">
        <v>335.75833333333333</v>
      </c>
      <c r="J9" s="16">
        <v>315.55113095238096</v>
      </c>
      <c r="K9" s="16">
        <v>321.56195000000002</v>
      </c>
      <c r="L9" s="16">
        <v>307.63677714285711</v>
      </c>
      <c r="M9" s="16">
        <v>301.31853333333333</v>
      </c>
      <c r="N9" s="16">
        <v>284</v>
      </c>
      <c r="O9" s="16">
        <v>277.02499999999998</v>
      </c>
      <c r="P9" s="16">
        <v>254.5</v>
      </c>
      <c r="Q9" s="16">
        <v>241.4</v>
      </c>
      <c r="R9" s="16">
        <v>230.375</v>
      </c>
      <c r="S9" s="16">
        <v>201.58</v>
      </c>
    </row>
    <row r="12" spans="1:20" x14ac:dyDescent="0.25">
      <c r="S12" s="28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L87" sqref="L87"/>
    </sheetView>
  </sheetViews>
  <sheetFormatPr defaultRowHeight="15" x14ac:dyDescent="0.25"/>
  <cols>
    <col min="1" max="1" width="10.140625" bestFit="1" customWidth="1"/>
    <col min="2" max="2" width="27" bestFit="1" customWidth="1"/>
    <col min="3" max="3" width="25.85546875" bestFit="1" customWidth="1"/>
    <col min="4" max="4" width="17.85546875" bestFit="1" customWidth="1"/>
    <col min="5" max="5" width="22.7109375" style="16" bestFit="1" customWidth="1"/>
  </cols>
  <sheetData>
    <row r="1" spans="1:5" x14ac:dyDescent="0.25">
      <c r="A1" t="s">
        <v>6</v>
      </c>
      <c r="B1" t="s">
        <v>1</v>
      </c>
      <c r="C1" t="s">
        <v>2</v>
      </c>
      <c r="D1" t="s">
        <v>3</v>
      </c>
      <c r="E1" s="16" t="s">
        <v>60</v>
      </c>
    </row>
    <row r="2" spans="1:5" x14ac:dyDescent="0.25">
      <c r="A2" s="4">
        <v>42370</v>
      </c>
      <c r="B2">
        <v>20.414999999999999</v>
      </c>
      <c r="C2">
        <v>82.746000000000009</v>
      </c>
      <c r="D2">
        <f t="shared" ref="D2:D13" si="0">C2/B2</f>
        <v>4.0531961792799418</v>
      </c>
      <c r="E2" s="16">
        <f>C2/60*1000</f>
        <v>1379.1000000000001</v>
      </c>
    </row>
    <row r="3" spans="1:5" x14ac:dyDescent="0.25">
      <c r="A3" s="4">
        <v>42401</v>
      </c>
      <c r="B3">
        <v>19.592105263157894</v>
      </c>
      <c r="C3">
        <v>77.829473684210527</v>
      </c>
      <c r="D3">
        <f t="shared" si="0"/>
        <v>3.9724916051040968</v>
      </c>
      <c r="E3" s="16">
        <f t="shared" ref="E3:E13" si="1">C3/60*1000</f>
        <v>1297.1578947368421</v>
      </c>
    </row>
    <row r="4" spans="1:5" x14ac:dyDescent="0.25">
      <c r="A4" s="4">
        <v>42430</v>
      </c>
      <c r="B4">
        <v>20.169545454545464</v>
      </c>
      <c r="C4">
        <v>74.527727272727262</v>
      </c>
      <c r="D4">
        <f t="shared" si="0"/>
        <v>3.695062312667611</v>
      </c>
      <c r="E4" s="16">
        <f t="shared" si="1"/>
        <v>1242.1287878787878</v>
      </c>
    </row>
    <row r="5" spans="1:5" x14ac:dyDescent="0.25">
      <c r="A5" s="4">
        <v>42461</v>
      </c>
      <c r="B5">
        <v>21.980499999999999</v>
      </c>
      <c r="C5">
        <v>78.042500000000018</v>
      </c>
      <c r="D5">
        <f t="shared" si="0"/>
        <v>3.5505334273560667</v>
      </c>
      <c r="E5" s="16">
        <f t="shared" si="1"/>
        <v>1300.7083333333335</v>
      </c>
    </row>
    <row r="6" spans="1:5" x14ac:dyDescent="0.25">
      <c r="A6" s="4">
        <v>42491</v>
      </c>
      <c r="B6">
        <v>24.432857142857145</v>
      </c>
      <c r="C6">
        <v>86.425238095238086</v>
      </c>
      <c r="D6">
        <f t="shared" si="0"/>
        <v>3.5372546726695115</v>
      </c>
      <c r="E6" s="16">
        <f t="shared" si="1"/>
        <v>1440.4206349206347</v>
      </c>
    </row>
    <row r="7" spans="1:5" x14ac:dyDescent="0.25">
      <c r="A7" s="4">
        <v>42522</v>
      </c>
      <c r="B7">
        <v>27.857727272727267</v>
      </c>
      <c r="C7">
        <v>95.188181818181832</v>
      </c>
      <c r="D7">
        <f t="shared" si="0"/>
        <v>3.4169399709563213</v>
      </c>
      <c r="E7" s="16">
        <f t="shared" si="1"/>
        <v>1586.4696969696972</v>
      </c>
    </row>
    <row r="8" spans="1:5" x14ac:dyDescent="0.25">
      <c r="A8" s="4">
        <v>42552</v>
      </c>
      <c r="B8">
        <v>26.691904761904766</v>
      </c>
      <c r="C8">
        <v>87.464285714285708</v>
      </c>
      <c r="D8">
        <f t="shared" si="0"/>
        <v>3.276809448200809</v>
      </c>
      <c r="E8" s="16">
        <f t="shared" si="1"/>
        <v>1457.7380952380952</v>
      </c>
    </row>
    <row r="9" spans="1:5" x14ac:dyDescent="0.25">
      <c r="A9" s="4">
        <v>42583</v>
      </c>
      <c r="B9">
        <v>25.469565217391313</v>
      </c>
      <c r="C9">
        <v>81.692173913043476</v>
      </c>
      <c r="D9">
        <f t="shared" si="0"/>
        <v>3.2074428132468409</v>
      </c>
      <c r="E9" s="16">
        <f t="shared" si="1"/>
        <v>1361.536231884058</v>
      </c>
    </row>
    <row r="10" spans="1:5" x14ac:dyDescent="0.25">
      <c r="A10" s="4">
        <v>42614</v>
      </c>
      <c r="B10">
        <v>24.43095238095238</v>
      </c>
      <c r="C10">
        <v>79.499999999999986</v>
      </c>
      <c r="D10">
        <f t="shared" si="0"/>
        <v>3.2540688042101156</v>
      </c>
      <c r="E10" s="16">
        <f t="shared" si="1"/>
        <v>1324.9999999999998</v>
      </c>
    </row>
    <row r="11" spans="1:5" x14ac:dyDescent="0.25">
      <c r="A11" s="4">
        <v>42644</v>
      </c>
      <c r="B11">
        <v>24.099499999999999</v>
      </c>
      <c r="C11">
        <v>76.703499999999991</v>
      </c>
      <c r="D11">
        <f t="shared" si="0"/>
        <v>3.1827838751841324</v>
      </c>
      <c r="E11" s="16">
        <f t="shared" si="1"/>
        <v>1278.3916666666667</v>
      </c>
    </row>
    <row r="12" spans="1:5" x14ac:dyDescent="0.25">
      <c r="A12" s="4">
        <v>42675</v>
      </c>
      <c r="B12">
        <v>23.444499999999998</v>
      </c>
      <c r="C12">
        <v>78.272500000000008</v>
      </c>
      <c r="D12">
        <f t="shared" si="0"/>
        <v>3.3386295293139123</v>
      </c>
      <c r="E12" s="16">
        <f t="shared" si="1"/>
        <v>1304.5416666666667</v>
      </c>
    </row>
    <row r="13" spans="1:5" x14ac:dyDescent="0.25">
      <c r="A13" s="4">
        <v>42705</v>
      </c>
      <c r="B13">
        <v>23.392857142857149</v>
      </c>
      <c r="C13">
        <v>78.429047619047623</v>
      </c>
      <c r="D13">
        <f t="shared" si="0"/>
        <v>3.352692111959287</v>
      </c>
      <c r="E13" s="16">
        <f t="shared" si="1"/>
        <v>1307.1507936507937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L87" sqref="L87"/>
    </sheetView>
  </sheetViews>
  <sheetFormatPr defaultRowHeight="15" x14ac:dyDescent="0.25"/>
  <cols>
    <col min="1" max="1" width="24.7109375" bestFit="1" customWidth="1"/>
    <col min="2" max="2" width="24.7109375" customWidth="1"/>
    <col min="3" max="3" width="10" bestFit="1" customWidth="1"/>
  </cols>
  <sheetData>
    <row r="1" spans="1:9" x14ac:dyDescent="0.25">
      <c r="A1" t="s">
        <v>55</v>
      </c>
      <c r="B1" t="s">
        <v>137</v>
      </c>
      <c r="C1" t="s">
        <v>65</v>
      </c>
      <c r="D1" t="s">
        <v>138</v>
      </c>
    </row>
    <row r="2" spans="1:9" x14ac:dyDescent="0.25">
      <c r="A2" s="3">
        <v>0</v>
      </c>
      <c r="B2" s="26">
        <f>A2*30</f>
        <v>0</v>
      </c>
      <c r="C2" s="16">
        <v>0</v>
      </c>
      <c r="D2" s="16">
        <v>0</v>
      </c>
      <c r="G2" s="11" t="s">
        <v>62</v>
      </c>
      <c r="H2" s="11" t="s">
        <v>63</v>
      </c>
      <c r="I2" s="11" t="s">
        <v>64</v>
      </c>
    </row>
    <row r="3" spans="1:9" x14ac:dyDescent="0.25">
      <c r="A3" s="3">
        <v>1</v>
      </c>
      <c r="B3" s="26">
        <f t="shared" ref="B3:B13" si="0">A3*30</f>
        <v>30</v>
      </c>
      <c r="C3" s="16">
        <v>27.566666666666663</v>
      </c>
      <c r="D3" s="16">
        <f t="shared" ref="D3:D13" si="1">C3/B3</f>
        <v>0.91888888888888876</v>
      </c>
      <c r="F3" t="s">
        <v>44</v>
      </c>
      <c r="G3" s="12">
        <v>33.571458333333332</v>
      </c>
      <c r="H3" s="12">
        <v>7.583333333333333</v>
      </c>
      <c r="I3">
        <v>29</v>
      </c>
    </row>
    <row r="4" spans="1:9" x14ac:dyDescent="0.25">
      <c r="A4" s="3">
        <v>2</v>
      </c>
      <c r="B4" s="26">
        <f t="shared" si="0"/>
        <v>60</v>
      </c>
      <c r="C4" s="16">
        <v>31.733333333333334</v>
      </c>
      <c r="D4" s="16">
        <f t="shared" si="1"/>
        <v>0.52888888888888885</v>
      </c>
      <c r="F4" t="s">
        <v>52</v>
      </c>
      <c r="G4" s="12">
        <v>43.03</v>
      </c>
      <c r="H4" s="12">
        <v>8.4266666666666676</v>
      </c>
      <c r="I4">
        <v>41</v>
      </c>
    </row>
    <row r="5" spans="1:9" x14ac:dyDescent="0.25">
      <c r="A5" s="3">
        <v>3</v>
      </c>
      <c r="B5" s="26">
        <f t="shared" si="0"/>
        <v>90</v>
      </c>
      <c r="C5" s="16">
        <v>36.396666666666668</v>
      </c>
      <c r="D5" s="16">
        <f t="shared" si="1"/>
        <v>0.40440740740740744</v>
      </c>
      <c r="F5" t="s">
        <v>37</v>
      </c>
      <c r="G5" s="12">
        <v>31.956785714285719</v>
      </c>
      <c r="H5" s="12">
        <v>4.1210000000000004</v>
      </c>
      <c r="I5">
        <v>20</v>
      </c>
    </row>
    <row r="6" spans="1:9" x14ac:dyDescent="0.25">
      <c r="A6" s="3">
        <v>4</v>
      </c>
      <c r="B6" s="26">
        <f t="shared" si="0"/>
        <v>120</v>
      </c>
      <c r="C6" s="16">
        <v>41.060000000000009</v>
      </c>
      <c r="D6" s="16">
        <f t="shared" si="1"/>
        <v>0.34216666666666673</v>
      </c>
    </row>
    <row r="7" spans="1:9" x14ac:dyDescent="0.25">
      <c r="A7" s="3">
        <v>5</v>
      </c>
      <c r="B7" s="26">
        <f t="shared" si="0"/>
        <v>150</v>
      </c>
      <c r="C7" s="16">
        <v>45.723333333333336</v>
      </c>
      <c r="D7" s="16">
        <f t="shared" si="1"/>
        <v>0.30482222222222222</v>
      </c>
    </row>
    <row r="8" spans="1:9" x14ac:dyDescent="0.25">
      <c r="A8" s="3">
        <v>6</v>
      </c>
      <c r="B8" s="26">
        <f t="shared" si="0"/>
        <v>180</v>
      </c>
      <c r="C8" s="16">
        <v>50.386666666666677</v>
      </c>
      <c r="D8" s="16">
        <f t="shared" si="1"/>
        <v>0.27992592592592597</v>
      </c>
    </row>
    <row r="9" spans="1:9" x14ac:dyDescent="0.25">
      <c r="A9" s="3">
        <v>7</v>
      </c>
      <c r="B9" s="26">
        <f t="shared" si="0"/>
        <v>210</v>
      </c>
      <c r="C9" s="16">
        <v>55.050000000000011</v>
      </c>
      <c r="D9" s="16">
        <f t="shared" si="1"/>
        <v>0.26214285714285718</v>
      </c>
      <c r="F9" t="s">
        <v>52</v>
      </c>
      <c r="G9">
        <v>24.613</v>
      </c>
      <c r="H9">
        <v>0.7833</v>
      </c>
    </row>
    <row r="10" spans="1:9" x14ac:dyDescent="0.25">
      <c r="A10" s="3">
        <v>8</v>
      </c>
      <c r="B10" s="26">
        <f t="shared" si="0"/>
        <v>240</v>
      </c>
      <c r="C10" s="16">
        <v>59.713333333333345</v>
      </c>
      <c r="D10" s="16">
        <f t="shared" si="1"/>
        <v>0.24880555555555561</v>
      </c>
      <c r="F10" t="s">
        <v>37</v>
      </c>
    </row>
    <row r="11" spans="1:9" x14ac:dyDescent="0.25">
      <c r="A11" s="3">
        <v>9</v>
      </c>
      <c r="B11" s="26">
        <f t="shared" si="0"/>
        <v>270</v>
      </c>
      <c r="C11" s="16">
        <v>64.376666666666679</v>
      </c>
      <c r="D11" s="16">
        <f t="shared" si="1"/>
        <v>0.23843209876543214</v>
      </c>
      <c r="F11" t="s">
        <v>44</v>
      </c>
      <c r="G11">
        <v>23.995000000000001</v>
      </c>
      <c r="H11">
        <v>0.71840000000000004</v>
      </c>
    </row>
    <row r="12" spans="1:9" x14ac:dyDescent="0.25">
      <c r="A12" s="3">
        <v>10</v>
      </c>
      <c r="B12" s="26">
        <f t="shared" si="0"/>
        <v>300</v>
      </c>
      <c r="C12" s="16">
        <v>69.04000000000002</v>
      </c>
      <c r="D12" s="16">
        <f t="shared" si="1"/>
        <v>0.23013333333333341</v>
      </c>
    </row>
    <row r="13" spans="1:9" x14ac:dyDescent="0.25">
      <c r="A13" s="3">
        <v>11</v>
      </c>
      <c r="B13" s="26">
        <f t="shared" si="0"/>
        <v>330</v>
      </c>
      <c r="C13" s="16">
        <v>73.703333333333404</v>
      </c>
      <c r="D13" s="16">
        <f t="shared" si="1"/>
        <v>0.22334343434343457</v>
      </c>
    </row>
    <row r="14" spans="1:9" x14ac:dyDescent="0.25">
      <c r="C14" s="16"/>
      <c r="D14" s="1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Apresentação</vt:lpstr>
      <vt:lpstr>SIMULADOR</vt:lpstr>
      <vt:lpstr>base_</vt:lpstr>
      <vt:lpstr>exportação</vt:lpstr>
      <vt:lpstr>cap_prod</vt:lpstr>
      <vt:lpstr>frete_rodo</vt:lpstr>
      <vt:lpstr>preço_soja</vt:lpstr>
      <vt:lpstr>preço_armazenagem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2017-03-23T18:30:37Z</dcterms:created>
  <dcterms:modified xsi:type="dcterms:W3CDTF">2017-05-26T11:39:09Z</dcterms:modified>
</cp:coreProperties>
</file>